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tabRatio="700" firstSheet="6" activeTab="15"/>
  </bookViews>
  <sheets>
    <sheet name="Assumptions" sheetId="1" r:id="rId1"/>
    <sheet name="Tariffs&amp;Usage" sheetId="2" r:id="rId2"/>
    <sheet name="MoBillGraph" sheetId="3" r:id="rId3"/>
    <sheet name="Demand" sheetId="4" r:id="rId4"/>
    <sheet name="CapEqtCosts" sheetId="5" r:id="rId5"/>
    <sheet name="CapEx" sheetId="6" r:id="rId6"/>
    <sheet name="OpEx" sheetId="7" r:id="rId7"/>
    <sheet name="P&amp;L" sheetId="8" r:id="rId8"/>
    <sheet name="BalSheet" sheetId="9" r:id="rId9"/>
    <sheet name="CashFlow" sheetId="10" r:id="rId10"/>
    <sheet name="Depr" sheetId="11" r:id="rId11"/>
    <sheet name="Ratios" sheetId="12" r:id="rId12"/>
    <sheet name="Valuation" sheetId="13" r:id="rId13"/>
    <sheet name="Graphs" sheetId="14" r:id="rId14"/>
    <sheet name="Documentation" sheetId="15" r:id="rId15"/>
    <sheet name="TOC" sheetId="16" r:id="rId16"/>
  </sheets>
  <definedNames>
    <definedName name="\i">'Assumptions'!#REF!</definedName>
    <definedName name="__123Graph_A" localSheetId="0" hidden="1">'Assumptions'!#REF!</definedName>
    <definedName name="__123Graph_AREV5" localSheetId="0" hidden="1">'Assumptions'!#REF!</definedName>
    <definedName name="__123Graph_AREV8" localSheetId="0" hidden="1">'Assumptions'!#REF!</definedName>
    <definedName name="__123Graph_B" localSheetId="0" hidden="1">'Assumptions'!#REF!</definedName>
    <definedName name="__123Graph_BREV5" localSheetId="0" hidden="1">'Assumptions'!#REF!</definedName>
    <definedName name="__123Graph_BREV8" localSheetId="0" hidden="1">'Assumptions'!#REF!</definedName>
    <definedName name="__123Graph_C" localSheetId="0" hidden="1">'Assumptions'!#REF!</definedName>
    <definedName name="__123Graph_CREV5" localSheetId="0" hidden="1">'Assumptions'!#REF!</definedName>
    <definedName name="__123Graph_CREV8" localSheetId="0" hidden="1">'Assumptions'!#REF!</definedName>
    <definedName name="__123Graph_E" localSheetId="0" hidden="1">'Assumptions'!#REF!</definedName>
    <definedName name="__123Graph_EREV5" localSheetId="0" hidden="1">'Assumptions'!#REF!</definedName>
    <definedName name="__123Graph_EREV8" localSheetId="0" hidden="1">'Assumptions'!#REF!</definedName>
    <definedName name="__123Graph_X" localSheetId="0" hidden="1">'Assumptions'!#REF!</definedName>
    <definedName name="__123Graph_XREV5" localSheetId="0" hidden="1">'Assumptions'!#REF!</definedName>
    <definedName name="__123Graph_XREV8" localSheetId="0" hidden="1">'Assumptions'!#REF!</definedName>
    <definedName name="_Fill" localSheetId="0" hidden="1">'Assumptions'!#REF!</definedName>
    <definedName name="_Regression_Int" localSheetId="0" hidden="1">1</definedName>
    <definedName name="CASH">'BalSheet'!$K$8</definedName>
    <definedName name="FINANCE">'Assumptions'!$A$1:$J$40</definedName>
    <definedName name="HTML_CodePage" hidden="1">1252</definedName>
    <definedName name="HTML_Control" hidden="1">{"'TOC'!$A$5:$D$25"}</definedName>
    <definedName name="HTML_Description" hidden="1">""</definedName>
    <definedName name="HTML_Email" hidden="1">"yale@sims.berkeley.edu"</definedName>
    <definedName name="HTML_Header" hidden="1">"TOC"</definedName>
    <definedName name="HTML_LastUpdate" hidden="1">"1/26/99"</definedName>
    <definedName name="HTML_LineAfter" hidden="1">FALSE</definedName>
    <definedName name="HTML_LineBefore" hidden="1">FALSE</definedName>
    <definedName name="HTML_Name" hidden="1">"Yale M. Braunstein"</definedName>
    <definedName name="HTML_OBDlg2" hidden="1">TRUE</definedName>
    <definedName name="HTML_OBDlg4" hidden="1">TRUE</definedName>
    <definedName name="HTML_OS" hidden="1">0</definedName>
    <definedName name="HTML_PathFile" hidden="1">"C:\Documents\TOC.htm"</definedName>
    <definedName name="HTML_Title" hidden="1">"Telecom Financial Model"</definedName>
    <definedName name="_xlnm.Print_Area" localSheetId="0">'Assumptions'!$A$1:$L$40</definedName>
    <definedName name="_xlnm.Print_Area" localSheetId="8">'BalSheet'!$A$2:$L$36</definedName>
    <definedName name="_xlnm.Print_Area" localSheetId="9">'CashFlow'!$A$2:$L$37</definedName>
    <definedName name="_xlnm.Print_Area" localSheetId="10">'Depr'!$A$1:$L$25</definedName>
    <definedName name="_xlnm.Print_Area" localSheetId="7">'P&amp;L'!$A:$IV</definedName>
    <definedName name="_xlnm.Print_Area" localSheetId="11">'Ratios'!$A$1:$L$26</definedName>
    <definedName name="_xlnm.Print_Area" localSheetId="1">'Tariffs&amp;Usage'!$A$1:$G$19</definedName>
    <definedName name="_xlnm.Print_Area" localSheetId="15">'TOC'!$A$5:$D$26</definedName>
    <definedName name="_xlnm.Print_Area" localSheetId="12">'Valuation'!$A$1:$L$35</definedName>
    <definedName name="Print_Area_MI">'Assumptions'!$A$1:$K$40</definedName>
  </definedNames>
  <calcPr fullCalcOnLoad="1"/>
</workbook>
</file>

<file path=xl/sharedStrings.xml><?xml version="1.0" encoding="utf-8"?>
<sst xmlns="http://schemas.openxmlformats.org/spreadsheetml/2006/main" count="541" uniqueCount="441">
  <si>
    <t>File:</t>
  </si>
  <si>
    <t>Updated:</t>
  </si>
  <si>
    <t>ASSUMPTIONS &amp; PROJECTIONS</t>
  </si>
  <si>
    <t>GENERAL FINANCIAL ASSUMPTIONS (Constant over time)</t>
  </si>
  <si>
    <t>Interest Cost</t>
  </si>
  <si>
    <t>Turnover Tax on Eqt. Sales</t>
  </si>
  <si>
    <t>Turnover Tax on Services</t>
  </si>
  <si>
    <t>Depreciation Method/Life</t>
  </si>
  <si>
    <t>Straight line</t>
  </si>
  <si>
    <t>Accts. Rec. as % Revenue</t>
  </si>
  <si>
    <t>days</t>
  </si>
  <si>
    <t>Accts. Pay. as % Op. Exp.</t>
  </si>
  <si>
    <t>Interest earned on cash balances</t>
  </si>
  <si>
    <t>Initial Interconnection Cost/min.</t>
  </si>
  <si>
    <t>Subscribers per Employee</t>
  </si>
  <si>
    <t>Years 0-5</t>
  </si>
  <si>
    <t>Years 6-10</t>
  </si>
  <si>
    <t>Min. Staffing for Years 1 &amp; 2</t>
  </si>
  <si>
    <t>Workers Comp. as % of Salary</t>
  </si>
  <si>
    <t>Billing/Postage Cost per Sub</t>
  </si>
  <si>
    <t>per month</t>
  </si>
  <si>
    <t>Maintenance Cost as % Eqt.</t>
  </si>
  <si>
    <t>Insurance Cost as % Eqt.</t>
  </si>
  <si>
    <t>Contingency as % Opr. Exp.</t>
  </si>
  <si>
    <t>Bad debt as % call charges</t>
  </si>
  <si>
    <t>PEAK TIME &amp; USAGE ASSUMPTIONS</t>
  </si>
  <si>
    <t>Weekdays per Year</t>
  </si>
  <si>
    <t>Peak Usage Hours per Weekday</t>
  </si>
  <si>
    <t>Current Usage Level (Min)</t>
  </si>
  <si>
    <t>Peak period Usage</t>
  </si>
  <si>
    <t>Current Subs</t>
  </si>
  <si>
    <t>Ave. MoU/Sub in Busy Hour</t>
  </si>
  <si>
    <t>Ave. MoU/Sub/Month</t>
  </si>
  <si>
    <t>Ann. Rate of Decline in Usage (%)</t>
  </si>
  <si>
    <t>FINANCIAL &amp; DEMOGRAPHIC ASSUMPTIONS (Can vary over time)</t>
  </si>
  <si>
    <t>Year</t>
  </si>
  <si>
    <t>Marketing Exp. per new sub.</t>
  </si>
  <si>
    <t xml:space="preserve">  </t>
  </si>
  <si>
    <t>Churn Rate/Yr. (% of Prev.)</t>
  </si>
  <si>
    <t>Total</t>
  </si>
  <si>
    <t>SUBSCRIBERS, CHURN, USAGE &amp; FEES  BY YEAR</t>
  </si>
  <si>
    <t>Net New Subscribers</t>
  </si>
  <si>
    <t>Subs Lost to Churn</t>
  </si>
  <si>
    <t>Ave Min of Use per Sub./Mo.</t>
  </si>
  <si>
    <t>Ave. Mo. Rev. per Subscriber</t>
  </si>
  <si>
    <t>CAPITAL  EQUIPMENT &amp; SYSTEM ACQUISITION COST ASSUMPTIONS (ALL IN $ MIL.)</t>
  </si>
  <si>
    <t xml:space="preserve">   Switch Investment</t>
  </si>
  <si>
    <t>per switch</t>
  </si>
  <si>
    <t xml:space="preserve">   Billing &amp; MIS Center</t>
  </si>
  <si>
    <t>Continuing Costs</t>
  </si>
  <si>
    <t xml:space="preserve">   Capital Upgrades</t>
  </si>
  <si>
    <t>of previous year's gross cum'l investment</t>
  </si>
  <si>
    <t xml:space="preserve">   Software Upgrades</t>
  </si>
  <si>
    <t>per year per switch</t>
  </si>
  <si>
    <t xml:space="preserve">   Switch Purchases</t>
  </si>
  <si>
    <t>TOTAL CAPITAL EXPENDITURE</t>
  </si>
  <si>
    <t>Cum'l Capital Expenditures</t>
  </si>
  <si>
    <t>INTERCONNECTION EXPENSES -- ASSUMPTIONS (U.S. $)</t>
  </si>
  <si>
    <t>IX cost per minute of use</t>
  </si>
  <si>
    <t>OPERATING EXPENSES WORK AREA</t>
  </si>
  <si>
    <t>Number of staff</t>
  </si>
  <si>
    <t>Monthly pay rate</t>
  </si>
  <si>
    <t>Total salary (millions)</t>
  </si>
  <si>
    <t>Training per staff</t>
  </si>
  <si>
    <t>Total training cost (millions)</t>
  </si>
  <si>
    <t>Expatriate Staff - Start Mo. Sal.</t>
  </si>
  <si>
    <t>Expatriate Staff - Number</t>
  </si>
  <si>
    <t>Expatriate Staff - Annual Incr.</t>
  </si>
  <si>
    <t>PRO FORMA FINANCIAL STATEMENTS (U.S. $ Millions)</t>
  </si>
  <si>
    <t>INCOME STATEMENT</t>
  </si>
  <si>
    <t>REVENUES</t>
  </si>
  <si>
    <t>Service Revenues</t>
  </si>
  <si>
    <t xml:space="preserve">    Service Initiation Fees</t>
  </si>
  <si>
    <t xml:space="preserve">    Ongoing Service</t>
  </si>
  <si>
    <t>Equipment Revenues</t>
  </si>
  <si>
    <t xml:space="preserve">     Terminal Sales (less Comm.)</t>
  </si>
  <si>
    <t xml:space="preserve">    TOTAL REVENUES</t>
  </si>
  <si>
    <t>Less: Cost of Terminals</t>
  </si>
  <si>
    <t xml:space="preserve">    Interconnection</t>
  </si>
  <si>
    <t xml:space="preserve">    Bad debt reserve</t>
  </si>
  <si>
    <t xml:space="preserve">    Turnover tax--services</t>
  </si>
  <si>
    <t xml:space="preserve">    Turnover tax--sales</t>
  </si>
  <si>
    <t xml:space="preserve">    Marketing costs--new subscribers</t>
  </si>
  <si>
    <t xml:space="preserve">    Rental cost </t>
  </si>
  <si>
    <t xml:space="preserve">    Training cost</t>
  </si>
  <si>
    <t xml:space="preserve">    Billing/postage cost </t>
  </si>
  <si>
    <t xml:space="preserve">    Salary</t>
  </si>
  <si>
    <t xml:space="preserve">    Worker's compensation cost</t>
  </si>
  <si>
    <t>EXPENSES</t>
  </si>
  <si>
    <t xml:space="preserve">    Public liability insurance</t>
  </si>
  <si>
    <t xml:space="preserve">    Maintenance--plant &amp; equip</t>
  </si>
  <si>
    <t xml:space="preserve">    Insurance--plant &amp; equip</t>
  </si>
  <si>
    <t xml:space="preserve">    Depreciation</t>
  </si>
  <si>
    <t xml:space="preserve">    Contingency</t>
  </si>
  <si>
    <t xml:space="preserve">    Interest Earned</t>
  </si>
  <si>
    <t xml:space="preserve">   (Interest Expense)</t>
  </si>
  <si>
    <t>INCOME BEFORE TAXES</t>
  </si>
  <si>
    <t xml:space="preserve">    Total Taxes </t>
  </si>
  <si>
    <t>NET INCOME</t>
  </si>
  <si>
    <t xml:space="preserve">    Cum'l Net Income (After Tax)</t>
  </si>
  <si>
    <t>Depreciation work area</t>
  </si>
  <si>
    <t>year life; straight line</t>
  </si>
  <si>
    <t>Current Additions to Plant &amp; Eqt.</t>
  </si>
  <si>
    <t>Depreciation type:</t>
  </si>
  <si>
    <t>Depreciation Factors (half yr.)</t>
  </si>
  <si>
    <t>Allowable Depreciation</t>
  </si>
  <si>
    <t>Capital allowances for YR 0 additions</t>
  </si>
  <si>
    <t>Capital allowances for YR 1 additions</t>
  </si>
  <si>
    <t>Capital allowances for YR 2 additions</t>
  </si>
  <si>
    <t>Capital allowances for YR 3 additions</t>
  </si>
  <si>
    <t>Capital allowances for YR 4 additions</t>
  </si>
  <si>
    <t>Capital allowances for YR 5 additions</t>
  </si>
  <si>
    <t>Capital allowances for YR 6 additions</t>
  </si>
  <si>
    <t>Capital allowances for YR 7 additions</t>
  </si>
  <si>
    <t>Capital allowances for YR 8 additions</t>
  </si>
  <si>
    <t>Capital allowances for YR 9 additions</t>
  </si>
  <si>
    <t>Capital allowances for YR 10 additions</t>
  </si>
  <si>
    <t>TOTAL Allowable Depreciation</t>
  </si>
  <si>
    <t>PERCENTAGE ANALYSIS</t>
  </si>
  <si>
    <t>SOURCES OF REVENUE (as % of Total Revenues)</t>
  </si>
  <si>
    <t xml:space="preserve">    Total</t>
  </si>
  <si>
    <t>EXPENSES (as % of Total Revenues)</t>
  </si>
  <si>
    <t xml:space="preserve">    Rental cost</t>
  </si>
  <si>
    <t xml:space="preserve">    Billing/postage costs</t>
  </si>
  <si>
    <t>OPERATING MARGINS (%)</t>
  </si>
  <si>
    <t xml:space="preserve">    Pre-Tax (as % of Total Rev.)</t>
  </si>
  <si>
    <t xml:space="preserve">    Effective Tax Rate (%)</t>
  </si>
  <si>
    <t xml:space="preserve">    After Tax (as % of Total Rev.)</t>
  </si>
  <si>
    <t>BALANCE SHEET</t>
  </si>
  <si>
    <t>ASSETS</t>
  </si>
  <si>
    <t>Current Assets</t>
  </si>
  <si>
    <t xml:space="preserve">   Cash &amp; Equivalent</t>
  </si>
  <si>
    <t xml:space="preserve">   Accounts Receivable</t>
  </si>
  <si>
    <t xml:space="preserve">   Inventory</t>
  </si>
  <si>
    <t>Total Current Assets</t>
  </si>
  <si>
    <t>Non-Current Assets</t>
  </si>
  <si>
    <t xml:space="preserve">   Plant &amp; Equipment</t>
  </si>
  <si>
    <t xml:space="preserve">  less Accum. Depreciation</t>
  </si>
  <si>
    <t>Total Non-current Assets</t>
  </si>
  <si>
    <t>Total Assets</t>
  </si>
  <si>
    <t>LIABILITIES &amp; STOCKHOLDERS' EQUITY</t>
  </si>
  <si>
    <t>Current Liabilities</t>
  </si>
  <si>
    <t xml:space="preserve">   Short-term Loans</t>
  </si>
  <si>
    <t xml:space="preserve">   Accts. Payable</t>
  </si>
  <si>
    <t xml:space="preserve">   Other S.T. Liabilities</t>
  </si>
  <si>
    <t>Total Current Liabilities</t>
  </si>
  <si>
    <t xml:space="preserve">   Non-current Liabilities</t>
  </si>
  <si>
    <t>Total Liabilities</t>
  </si>
  <si>
    <t>Stockholders' Equity</t>
  </si>
  <si>
    <t xml:space="preserve">   Paid-In Capital</t>
  </si>
  <si>
    <t xml:space="preserve">   Retained Earnings</t>
  </si>
  <si>
    <t xml:space="preserve">   Treasury Stock</t>
  </si>
  <si>
    <t>Total Stockholders' Equity</t>
  </si>
  <si>
    <t>Total Liabilities &amp; Equity</t>
  </si>
  <si>
    <t>SOURCES &amp; USES OF FUNDS</t>
  </si>
  <si>
    <t>SOURCES</t>
  </si>
  <si>
    <t>From Operations</t>
  </si>
  <si>
    <t xml:space="preserve">   Net Profit</t>
  </si>
  <si>
    <t xml:space="preserve">   Depreciation</t>
  </si>
  <si>
    <t xml:space="preserve">   Total from Operations</t>
  </si>
  <si>
    <t>Decrease In:</t>
  </si>
  <si>
    <t xml:space="preserve">   Receivables</t>
  </si>
  <si>
    <t xml:space="preserve">   Fixed Assets</t>
  </si>
  <si>
    <t>Increase In:</t>
  </si>
  <si>
    <t xml:space="preserve">   Payables</t>
  </si>
  <si>
    <t xml:space="preserve">   S.T. Liabilities</t>
  </si>
  <si>
    <t xml:space="preserve">   L.T. Liabilities</t>
  </si>
  <si>
    <t xml:space="preserve">   Common Stock</t>
  </si>
  <si>
    <t>Total Sources</t>
  </si>
  <si>
    <t>USES</t>
  </si>
  <si>
    <t>Total Uses</t>
  </si>
  <si>
    <t>NET CASH INCREASE/DECREASE</t>
  </si>
  <si>
    <t>RATIO ANALYSIS</t>
  </si>
  <si>
    <t>LIQUIDITY RATIOS</t>
  </si>
  <si>
    <t xml:space="preserve">   Current Ratio</t>
  </si>
  <si>
    <t xml:space="preserve">   Quick Ratio (Acid Test)</t>
  </si>
  <si>
    <t xml:space="preserve">   Cash Ratio</t>
  </si>
  <si>
    <t>LEVERAGE RATIOS</t>
  </si>
  <si>
    <t xml:space="preserve">   Debt Ratio</t>
  </si>
  <si>
    <t xml:space="preserve">   Debt/Equity</t>
  </si>
  <si>
    <t xml:space="preserve">   Long Term Debt/Equity</t>
  </si>
  <si>
    <t xml:space="preserve">   Times Interest Earned</t>
  </si>
  <si>
    <t>PROFITABILITY RATIOS</t>
  </si>
  <si>
    <t xml:space="preserve">   Gross Margin (before Depr. &amp; Tax)</t>
  </si>
  <si>
    <t xml:space="preserve">   Net Operating Margin</t>
  </si>
  <si>
    <t xml:space="preserve">   Profit Margin on Sales</t>
  </si>
  <si>
    <t xml:space="preserve">   Return on Total Assets</t>
  </si>
  <si>
    <t xml:space="preserve">   Profit on Total Assets</t>
  </si>
  <si>
    <t xml:space="preserve">   Return on Common Equity</t>
  </si>
  <si>
    <t>Change in Capital</t>
  </si>
  <si>
    <t>Net Cash Flow</t>
  </si>
  <si>
    <t>Sum</t>
  </si>
  <si>
    <t>Cum'l Values</t>
  </si>
  <si>
    <t>IRR</t>
  </si>
  <si>
    <t>1/revenues (use for tests)</t>
  </si>
  <si>
    <t>1/int. expense</t>
  </si>
  <si>
    <t>Balance sheet out of balance</t>
  </si>
  <si>
    <t>Change in cash from BalSheet</t>
  </si>
  <si>
    <t>Graph work area</t>
  </si>
  <si>
    <t>Revenues</t>
  </si>
  <si>
    <t>Expenses</t>
  </si>
  <si>
    <t xml:space="preserve">    TOTAL OPR. EXPENSES</t>
  </si>
  <si>
    <t xml:space="preserve">   NET OPER. REVENUES</t>
  </si>
  <si>
    <t>Year 1</t>
  </si>
  <si>
    <t xml:space="preserve">   (NOTE: Year 0 costs and investments possible)</t>
  </si>
  <si>
    <t>NOTE: Input data in blue ranges when possible</t>
  </si>
  <si>
    <t>"MAIN SWITCH"</t>
  </si>
  <si>
    <t>Capital Cost</t>
  </si>
  <si>
    <t>Opr. Cost per Year</t>
  </si>
  <si>
    <t>Switching Eqt.</t>
  </si>
  <si>
    <t>Billing System</t>
  </si>
  <si>
    <t>Software/Other Service</t>
  </si>
  <si>
    <t>Aux. Eqt.</t>
  </si>
  <si>
    <t>Installation</t>
  </si>
  <si>
    <t>Lease Improvement</t>
  </si>
  <si>
    <t>Misc.</t>
  </si>
  <si>
    <t>TOTAL</t>
  </si>
  <si>
    <t>"OTHER SWITCH"</t>
  </si>
  <si>
    <t>NOTES:</t>
  </si>
  <si>
    <t>Assumptions:</t>
  </si>
  <si>
    <t>Standard Service Plan</t>
  </si>
  <si>
    <t>Component</t>
  </si>
  <si>
    <t>Symbol</t>
  </si>
  <si>
    <t>Basis</t>
  </si>
  <si>
    <t>Standard Plan</t>
  </si>
  <si>
    <t>Traffic Profile</t>
  </si>
  <si>
    <t>%</t>
  </si>
  <si>
    <t>one-time</t>
  </si>
  <si>
    <t>Monthy subs.</t>
  </si>
  <si>
    <t>per min.</t>
  </si>
  <si>
    <t>Notes</t>
  </si>
  <si>
    <t xml:space="preserve">   Total</t>
  </si>
  <si>
    <t>Cash Flow Valuation</t>
  </si>
  <si>
    <t>EBIT</t>
  </si>
  <si>
    <t>Tax Loss Utilized</t>
  </si>
  <si>
    <t>Taxable Profits</t>
  </si>
  <si>
    <t>Tax Rate</t>
  </si>
  <si>
    <t>Corporate Tax Charge</t>
  </si>
  <si>
    <t>Opening</t>
  </si>
  <si>
    <t>Incurred in the period</t>
  </si>
  <si>
    <t>Utilized</t>
  </si>
  <si>
    <t>Closing</t>
  </si>
  <si>
    <t xml:space="preserve">Unlevered Free Cash Flow </t>
  </si>
  <si>
    <t>EBITDA</t>
  </si>
  <si>
    <t>Change in Working Capital</t>
  </si>
  <si>
    <t>NPV of Unlevered Free Cash Flow</t>
  </si>
  <si>
    <t>WACC</t>
  </si>
  <si>
    <t>NPV of Terminal Value</t>
  </si>
  <si>
    <t>Tax loss carryforwards:</t>
  </si>
  <si>
    <t>NPV of Cash Flows, Years 1-10</t>
  </si>
  <si>
    <t>Terminal Multiple of EBITDA</t>
  </si>
  <si>
    <t>Evaluation as of start of Year 1</t>
  </si>
  <si>
    <t>Expected TV growth rate</t>
  </si>
  <si>
    <t>Terminal Value in Year 10</t>
  </si>
  <si>
    <t>Sum of NPV of CF &amp; TV</t>
  </si>
  <si>
    <t>Tax Calculations:</t>
  </si>
  <si>
    <t>Other taxes:</t>
  </si>
  <si>
    <t>Corporate Profits Tax</t>
  </si>
  <si>
    <t>Enter tax rate directly in P&amp;L sheet</t>
  </si>
  <si>
    <t>Specify other taxes here</t>
  </si>
  <si>
    <t>Years; no terminal value included</t>
  </si>
  <si>
    <t>filename:</t>
  </si>
  <si>
    <t>date originally created:</t>
  </si>
  <si>
    <t>most recent modification:</t>
  </si>
  <si>
    <t>Sheet #</t>
  </si>
  <si>
    <t>Sheet Name</t>
  </si>
  <si>
    <t>Description</t>
  </si>
  <si>
    <t>Assumptions</t>
  </si>
  <si>
    <t>Use to enter many basic assumptions</t>
  </si>
  <si>
    <t>Tariffs&amp;Usage</t>
  </si>
  <si>
    <t>This sheet is a complete listing of the other worksheets in the model and a short description of each.  It can also be used to make notes of changes that were made or still are needed.  Each sheet name is a hyperlink--click on it to go directly to that sheet.</t>
  </si>
  <si>
    <t>MoBillGraph</t>
  </si>
  <si>
    <t>Graph of bills vs. MOU for all tariff plans</t>
  </si>
  <si>
    <t>Demand</t>
  </si>
  <si>
    <t>Users and usage to generate revenues from tariffs and subs</t>
  </si>
  <si>
    <t>CapEqtCosts</t>
  </si>
  <si>
    <t>Assumption and notes on costs of plant</t>
  </si>
  <si>
    <t>CapEx</t>
  </si>
  <si>
    <t>Capital expenditures by category</t>
  </si>
  <si>
    <t>OpEx</t>
  </si>
  <si>
    <t>Inter-connection and operating expenses</t>
  </si>
  <si>
    <t>P&amp;L</t>
  </si>
  <si>
    <t>Traditional profit and loss statement, with provision for NOL carryforward.  Also has percentage analysis.</t>
  </si>
  <si>
    <t>BalSheet</t>
  </si>
  <si>
    <t>Traditional balance sheet (with checksum)</t>
  </si>
  <si>
    <t>CashFlow</t>
  </si>
  <si>
    <t>Traditional sources and uses of cash statement (with checksum)</t>
  </si>
  <si>
    <t>Depr</t>
  </si>
  <si>
    <t>Depreciation table; add additional classes if necessary</t>
  </si>
  <si>
    <t>Ratios</t>
  </si>
  <si>
    <t>Many financial ratios</t>
  </si>
  <si>
    <t>Valuation</t>
  </si>
  <si>
    <t>Several valuation models</t>
  </si>
  <si>
    <t>Graphs</t>
  </si>
  <si>
    <t>Revenue and expense graphs</t>
  </si>
  <si>
    <t>TOC</t>
  </si>
  <si>
    <t>This table of contents</t>
  </si>
  <si>
    <t>Data entry areas are in blue text and are on several sheets.</t>
  </si>
  <si>
    <t xml:space="preserve">NOTES: </t>
  </si>
  <si>
    <t>Notes, warnings, and instructions are in red text.</t>
  </si>
  <si>
    <t>ROI WORK AREA (After tax; Cash Flow Adjusted)</t>
  </si>
  <si>
    <t>TV Basis:</t>
  </si>
  <si>
    <t>EBITA</t>
  </si>
  <si>
    <t>Net CF</t>
  </si>
  <si>
    <t>Years plus TV from EBITA</t>
  </si>
  <si>
    <t>Sum (with EBITA TV)</t>
  </si>
  <si>
    <t>Years plus TV from NCF</t>
  </si>
  <si>
    <t>Sum (with NCF TV)</t>
  </si>
  <si>
    <t>NPV of After-tax Cash Flow</t>
  </si>
  <si>
    <t>Ratio of values, after-tax to pre-tax</t>
  </si>
  <si>
    <t>Last year earnings or NCF</t>
  </si>
  <si>
    <t>NOTE: Assumes flows at end of year.</t>
  </si>
  <si>
    <t>Last year earnings or UFCF</t>
  </si>
  <si>
    <t>UFCF</t>
  </si>
  <si>
    <t>Value per Year 1 sub</t>
  </si>
  <si>
    <t>(U.S. $ Millions)</t>
  </si>
  <si>
    <t>Value per Year 10 sub</t>
  </si>
  <si>
    <t>Value per pop</t>
  </si>
  <si>
    <t>Population in region</t>
  </si>
  <si>
    <t>($)</t>
  </si>
  <si>
    <t xml:space="preserve">  &lt;== should reflect after-tax costs</t>
  </si>
  <si>
    <t>Terminal Multiple of EBITDA or UFCF</t>
  </si>
  <si>
    <t>less Capital expenditure</t>
  </si>
  <si>
    <t>less Unlevered Tax</t>
  </si>
  <si>
    <t>Working capital changes</t>
  </si>
  <si>
    <t>Change in AR</t>
  </si>
  <si>
    <t>Change in AP</t>
  </si>
  <si>
    <t>Change in WC</t>
  </si>
  <si>
    <t>difference betw. methods</t>
  </si>
  <si>
    <t>plus Interest Earned</t>
  </si>
  <si>
    <t>Difference (should be 0)</t>
  </si>
  <si>
    <t>Check sums:</t>
  </si>
  <si>
    <t>less Interest Expense</t>
  </si>
  <si>
    <t xml:space="preserve">    Free Cash Flow</t>
  </si>
  <si>
    <t>plus After-tax Interest Expense</t>
  </si>
  <si>
    <t xml:space="preserve">   Unlevered Free Cash Flow</t>
  </si>
  <si>
    <t>Alternative calculation area--do not print</t>
  </si>
  <si>
    <t>Or link to recurrent costs on CapEqtCosts sheet</t>
  </si>
  <si>
    <t>Input data in blue ranges when possible</t>
  </si>
  <si>
    <t>Depreciation Factors (full yr.)</t>
  </si>
  <si>
    <t>Net Income before Taxes</t>
  </si>
  <si>
    <t>Using after-tax cash flows</t>
  </si>
  <si>
    <t>Using FCF</t>
  </si>
  <si>
    <t>ROI WORK AREA (UFCF)</t>
  </si>
  <si>
    <t>Ave. MoU/Sub per day</t>
  </si>
  <si>
    <t>Milli-Erlang per busy hr. per sub:</t>
  </si>
  <si>
    <t>Average Milli-Erlang per sub:</t>
  </si>
  <si>
    <t>Generic Telecom Model</t>
  </si>
  <si>
    <t>Excise Tax</t>
  </si>
  <si>
    <t>License Tax</t>
  </si>
  <si>
    <t>Module capacity at Peak (MoU/hr/mod)</t>
  </si>
  <si>
    <t>Max. Subs per Module</t>
  </si>
  <si>
    <t>Connection</t>
  </si>
  <si>
    <t>CX</t>
  </si>
  <si>
    <t>MS</t>
  </si>
  <si>
    <t>U1</t>
  </si>
  <si>
    <t>Metro</t>
  </si>
  <si>
    <t>U2</t>
  </si>
  <si>
    <t>Trunk</t>
  </si>
  <si>
    <t>Usage min/sub/mo</t>
  </si>
  <si>
    <t>Local-peak</t>
  </si>
  <si>
    <t>Local-off-peak</t>
  </si>
  <si>
    <t>M1</t>
  </si>
  <si>
    <t>T1</t>
  </si>
  <si>
    <t>Local/total</t>
  </si>
  <si>
    <t>Metro/total</t>
  </si>
  <si>
    <t>Trunk/total</t>
  </si>
  <si>
    <t>% local at peak</t>
  </si>
  <si>
    <t>Ave. MOU per sub, this service plan</t>
  </si>
  <si>
    <t>Data for MoBill Graph</t>
  </si>
  <si>
    <t>(assumes constant calling pattern)</t>
  </si>
  <si>
    <t>MOU</t>
  </si>
  <si>
    <t>SUBSCRIBERS, SWITCHES &amp; MODULES</t>
  </si>
  <si>
    <t>Total Telecom Subscribers</t>
  </si>
  <si>
    <t>Urban Regions</t>
  </si>
  <si>
    <t>Rural Regions</t>
  </si>
  <si>
    <t>Ave. HH size</t>
  </si>
  <si>
    <t>Penetration (lines per HH)</t>
  </si>
  <si>
    <t>Region</t>
  </si>
  <si>
    <t>Population AGR</t>
  </si>
  <si>
    <t>HH size AGR</t>
  </si>
  <si>
    <t>Captial Region</t>
  </si>
  <si>
    <t>Population - estimated mils</t>
  </si>
  <si>
    <t>HH (mils)</t>
  </si>
  <si>
    <t>Penetration AGR</t>
  </si>
  <si>
    <t>Subscribers in Region (K)</t>
  </si>
  <si>
    <t>Alpha</t>
  </si>
  <si>
    <t>Beta</t>
  </si>
  <si>
    <t>Gamma</t>
  </si>
  <si>
    <t>Delta</t>
  </si>
  <si>
    <t>Polpulations of Cities - mils</t>
  </si>
  <si>
    <t>Total Pop in Region</t>
  </si>
  <si>
    <t>Total Population - mils</t>
  </si>
  <si>
    <t>General</t>
  </si>
  <si>
    <t>Other</t>
  </si>
  <si>
    <t>Carrier Market Share</t>
  </si>
  <si>
    <t>Carrier Subs (K)</t>
  </si>
  <si>
    <t>National Total (K)</t>
  </si>
  <si>
    <t>Carrier Total Subs (K)</t>
  </si>
  <si>
    <t xml:space="preserve">    From Demand Sheet</t>
  </si>
  <si>
    <t>Max. subs per switch (K)</t>
  </si>
  <si>
    <t>Max. subs per module</t>
  </si>
  <si>
    <t>Modules</t>
  </si>
  <si>
    <t>Total Modules</t>
  </si>
  <si>
    <t>Switches</t>
  </si>
  <si>
    <t>Total Switches</t>
  </si>
  <si>
    <t>Modules &amp; Switches</t>
  </si>
  <si>
    <t>Carrier Subscribers (K-EOY)</t>
  </si>
  <si>
    <t>Ave. Mo. Bill</t>
  </si>
  <si>
    <t>Tariffs</t>
  </si>
  <si>
    <t>Check sum from Assumptions</t>
  </si>
  <si>
    <t>"MODULES"</t>
  </si>
  <si>
    <t>Basic Module</t>
  </si>
  <si>
    <t>Power Upgrades</t>
  </si>
  <si>
    <t>CAPITAL COSTS (in $ US)</t>
  </si>
  <si>
    <t>Capital Needs Summary</t>
  </si>
  <si>
    <t xml:space="preserve">   System Acquisition </t>
  </si>
  <si>
    <t xml:space="preserve">   System Acquisition</t>
  </si>
  <si>
    <t>NOTE: Main switch installed prior to 1998</t>
  </si>
  <si>
    <t>Upgrade for Competition</t>
  </si>
  <si>
    <t>Net additions of modules</t>
  </si>
  <si>
    <t>Net additions of switches</t>
  </si>
  <si>
    <t>NOTE: Upgrade for competition in 2001</t>
  </si>
  <si>
    <t xml:space="preserve">   Modules</t>
  </si>
  <si>
    <t xml:space="preserve">   per module</t>
  </si>
  <si>
    <t>CAPITAL EXPENDITURES BY CATEGORY  (U.S. $ Millions; Based on Increase in Switches &amp; Modules)</t>
  </si>
  <si>
    <t>Switches Purchased</t>
  </si>
  <si>
    <t>Modules Purchased</t>
  </si>
  <si>
    <t xml:space="preserve">   Modules Purchased</t>
  </si>
  <si>
    <t>(from Demand worksheet)</t>
  </si>
  <si>
    <t>Ave. Subs during Year (K)</t>
  </si>
  <si>
    <t>Gross New Subscribers (K)</t>
  </si>
  <si>
    <t>SWITCH BASED OP. EXP. ($mil per main switch)</t>
  </si>
  <si>
    <t xml:space="preserve">    Main switch opr. exp.</t>
  </si>
  <si>
    <t>Max. Erlangs per module</t>
  </si>
  <si>
    <t>Has single tariff plan</t>
  </si>
  <si>
    <t>Documentation</t>
  </si>
  <si>
    <t>Chart showing linkages between sheets</t>
  </si>
  <si>
    <t>Copyright 1999, 2000, 2002; Yale M. Braunstein</t>
  </si>
  <si>
    <t>Copyright 1999, 2000, 2002,2004 ; Yale M. Braunstein</t>
  </si>
  <si>
    <t>Copyright 1999, 2000, 2002, 2004; Yale M. Braunstein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</si>
</sst>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%"/>
    <numFmt numFmtId="167" formatCode="0.0000%"/>
    <numFmt numFmtId="168" formatCode=";;;"/>
    <numFmt numFmtId="169" formatCode="0.0_)"/>
    <numFmt numFmtId="170" formatCode="0.00_)"/>
    <numFmt numFmtId="171" formatCode="0.000_)"/>
    <numFmt numFmtId="172" formatCode="dd\-mmm\-yy_)"/>
    <numFmt numFmtId="173" formatCode="&quot;$&quot;#,##0.0_);\(&quot;$&quot;#,##0.0\)"/>
    <numFmt numFmtId="174" formatCode="0.000"/>
    <numFmt numFmtId="175" formatCode="0.0"/>
    <numFmt numFmtId="176" formatCode="0.000%"/>
    <numFmt numFmtId="177" formatCode="0.0000"/>
    <numFmt numFmtId="178" formatCode="#,##0.0_);[Red]\(#,##0.0\)"/>
    <numFmt numFmtId="179" formatCode="dd\-mmm\-yy"/>
    <numFmt numFmtId="180" formatCode="&quot;R$&quot;#,##0;\-&quot;R$&quot;#,##0"/>
    <numFmt numFmtId="181" formatCode="&quot;R$&quot;#,##0;[Red]\-&quot;R$&quot;#,##0"/>
    <numFmt numFmtId="182" formatCode="&quot;R$&quot;#,##0.00;\-&quot;R$&quot;#,##0.00"/>
    <numFmt numFmtId="183" formatCode="&quot;R$&quot;#,##0.00;[Red]\-&quot;R$&quot;#,##0.00"/>
    <numFmt numFmtId="184" formatCode="_-&quot;R$&quot;* #,##0_-;\-&quot;R$&quot;* #,##0_-;_-&quot;R$&quot;* &quot;-&quot;_-;_-@_-"/>
    <numFmt numFmtId="185" formatCode="_-* #,##0_-;\-* #,##0_-;_-* &quot;-&quot;_-;_-@_-"/>
    <numFmt numFmtId="186" formatCode="_-&quot;R$&quot;* #,##0.00_-;\-&quot;R$&quot;* #,##0.00_-;_-&quot;R$&quot;* &quot;-&quot;??_-;_-@_-"/>
    <numFmt numFmtId="187" formatCode="_-* #,##0.00_-;\-* #,##0.00_-;_-* &quot;-&quot;??_-;_-@_-"/>
    <numFmt numFmtId="188" formatCode="&quot;$&quot;#,##0.0_);[Red]\(&quot;$&quot;#,##0.0\)"/>
    <numFmt numFmtId="189" formatCode="0.000000"/>
    <numFmt numFmtId="190" formatCode="0.0000000"/>
    <numFmt numFmtId="191" formatCode="0.00000000"/>
    <numFmt numFmtId="192" formatCode="0.00000"/>
    <numFmt numFmtId="193" formatCode="#,##0.0_);\(#,##0.0\)"/>
    <numFmt numFmtId="194" formatCode="0.0_);\(0.0\)"/>
    <numFmt numFmtId="195" formatCode="#,##0;\(#,##0\)"/>
    <numFmt numFmtId="196" formatCode="0.0\x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</numFmts>
  <fonts count="3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Lucida Sans"/>
      <family val="2"/>
    </font>
    <font>
      <sz val="13.75"/>
      <name val="Arial"/>
      <family val="2"/>
    </font>
    <font>
      <sz val="14.7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sz val="9"/>
      <name val="LinePrinter"/>
      <family val="0"/>
    </font>
    <font>
      <sz val="9"/>
      <name val="Courier"/>
      <family val="0"/>
    </font>
    <font>
      <b/>
      <i/>
      <sz val="9"/>
      <name val="Arial"/>
      <family val="2"/>
    </font>
    <font>
      <sz val="9"/>
      <name val="Lucida Sans"/>
      <family val="2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164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2" borderId="0">
      <alignment horizontal="center"/>
      <protection/>
    </xf>
  </cellStyleXfs>
  <cellXfs count="318">
    <xf numFmtId="164" fontId="0" fillId="0" borderId="0" xfId="0" applyAlignment="1">
      <alignment/>
    </xf>
    <xf numFmtId="164" fontId="5" fillId="0" borderId="0" xfId="0" applyFont="1" applyAlignment="1" quotePrefix="1">
      <alignment/>
    </xf>
    <xf numFmtId="164" fontId="0" fillId="0" borderId="0" xfId="0" applyAlignment="1" applyProtection="1">
      <alignment/>
      <protection/>
    </xf>
    <xf numFmtId="164" fontId="5" fillId="0" borderId="0" xfId="0" applyFont="1" applyAlignment="1" applyProtection="1" quotePrefix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 quotePrefix="1">
      <alignment horizontal="right"/>
      <protection locked="0"/>
    </xf>
    <xf numFmtId="174" fontId="6" fillId="0" borderId="0" xfId="0" applyNumberFormat="1" applyFont="1" applyAlignment="1" applyProtection="1" quotePrefix="1">
      <alignment/>
      <protection locked="0"/>
    </xf>
    <xf numFmtId="164" fontId="6" fillId="0" borderId="0" xfId="0" applyFont="1" applyAlignment="1" applyProtection="1">
      <alignment/>
      <protection locked="0"/>
    </xf>
    <xf numFmtId="174" fontId="6" fillId="0" borderId="0" xfId="0" applyNumberFormat="1" applyFon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/>
      <protection locked="0"/>
    </xf>
    <xf numFmtId="164" fontId="5" fillId="0" borderId="0" xfId="0" applyFont="1" applyAlignment="1" quotePrefix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Continuous"/>
    </xf>
    <xf numFmtId="164" fontId="10" fillId="0" borderId="0" xfId="0" applyFont="1" applyAlignment="1">
      <alignment horizontal="centerContinuous"/>
    </xf>
    <xf numFmtId="164" fontId="12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 applyProtection="1">
      <alignment horizontal="left"/>
      <protection locked="0"/>
    </xf>
    <xf numFmtId="164" fontId="12" fillId="0" borderId="0" xfId="0" applyFont="1" applyAlignment="1" applyProtection="1">
      <alignment/>
      <protection locked="0"/>
    </xf>
    <xf numFmtId="164" fontId="12" fillId="0" borderId="0" xfId="0" applyFont="1" applyAlignment="1" applyProtection="1" quotePrefix="1">
      <alignment horizontal="left"/>
      <protection locked="0"/>
    </xf>
    <xf numFmtId="164" fontId="12" fillId="0" borderId="0" xfId="0" applyFont="1" applyAlignment="1" applyProtection="1" quotePrefix="1">
      <alignment/>
      <protection locked="0"/>
    </xf>
    <xf numFmtId="164" fontId="12" fillId="0" borderId="0" xfId="0" applyFont="1" applyAlignment="1" applyProtection="1" quotePrefix="1">
      <alignment/>
      <protection/>
    </xf>
    <xf numFmtId="164" fontId="12" fillId="0" borderId="0" xfId="0" applyFont="1" applyAlignment="1" quotePrefix="1">
      <alignment/>
    </xf>
    <xf numFmtId="164" fontId="14" fillId="0" borderId="0" xfId="0" applyFont="1" applyAlignment="1" applyProtection="1" quotePrefix="1">
      <alignment horizontal="left"/>
      <protection locked="0"/>
    </xf>
    <xf numFmtId="164" fontId="12" fillId="0" borderId="0" xfId="0" applyFont="1" applyAlignment="1" applyProtection="1">
      <alignment horizontal="right"/>
      <protection locked="0"/>
    </xf>
    <xf numFmtId="164" fontId="14" fillId="0" borderId="0" xfId="0" applyFont="1" applyAlignment="1" applyProtection="1" quotePrefix="1">
      <alignment horizontal="centerContinuous"/>
      <protection locked="0"/>
    </xf>
    <xf numFmtId="164" fontId="12" fillId="0" borderId="0" xfId="0" applyFont="1" applyAlignment="1" applyProtection="1" quotePrefix="1">
      <alignment horizontal="centerContinuous"/>
      <protection locked="0"/>
    </xf>
    <xf numFmtId="164" fontId="12" fillId="0" borderId="0" xfId="0" applyFont="1" applyAlignment="1" applyProtection="1">
      <alignment horizontal="left"/>
      <protection locked="0"/>
    </xf>
    <xf numFmtId="174" fontId="12" fillId="0" borderId="0" xfId="0" applyNumberFormat="1" applyFont="1" applyAlignment="1" applyProtection="1" quotePrefix="1">
      <alignment/>
      <protection locked="0"/>
    </xf>
    <xf numFmtId="9" fontId="17" fillId="0" borderId="0" xfId="21" applyFont="1" applyAlignment="1" applyProtection="1" quotePrefix="1">
      <alignment/>
      <protection locked="0"/>
    </xf>
    <xf numFmtId="164" fontId="15" fillId="0" borderId="0" xfId="0" applyFont="1" applyAlignment="1">
      <alignment/>
    </xf>
    <xf numFmtId="164" fontId="11" fillId="0" borderId="0" xfId="0" applyFont="1" applyAlignment="1" applyProtection="1">
      <alignment/>
      <protection locked="0"/>
    </xf>
    <xf numFmtId="164" fontId="12" fillId="0" borderId="0" xfId="0" applyFont="1" applyAlignment="1" applyProtection="1" quotePrefix="1">
      <alignment horizontal="right"/>
      <protection locked="0"/>
    </xf>
    <xf numFmtId="164" fontId="12" fillId="0" borderId="0" xfId="0" applyFont="1" applyAlignment="1" applyProtection="1" quotePrefix="1">
      <alignment horizontal="right"/>
      <protection/>
    </xf>
    <xf numFmtId="164" fontId="14" fillId="0" borderId="0" xfId="0" applyFont="1" applyAlignment="1" applyProtection="1">
      <alignment horizontal="right"/>
      <protection locked="0"/>
    </xf>
    <xf numFmtId="164" fontId="14" fillId="0" borderId="0" xfId="0" applyFont="1" applyAlignment="1" applyProtection="1" quotePrefix="1">
      <alignment horizontal="center"/>
      <protection locked="0"/>
    </xf>
    <xf numFmtId="164" fontId="12" fillId="0" borderId="1" xfId="0" applyFont="1" applyBorder="1" applyAlignment="1" applyProtection="1">
      <alignment horizontal="right"/>
      <protection locked="0"/>
    </xf>
    <xf numFmtId="164" fontId="12" fillId="0" borderId="0" xfId="0" applyFont="1" applyBorder="1" applyAlignment="1" applyProtection="1" quotePrefix="1">
      <alignment horizontal="right"/>
      <protection locked="0"/>
    </xf>
    <xf numFmtId="164" fontId="12" fillId="0" borderId="2" xfId="0" applyFont="1" applyBorder="1" applyAlignment="1" applyProtection="1" quotePrefix="1">
      <alignment horizontal="right"/>
      <protection locked="0"/>
    </xf>
    <xf numFmtId="164" fontId="14" fillId="0" borderId="1" xfId="0" applyFont="1" applyBorder="1" applyAlignment="1" applyProtection="1">
      <alignment horizontal="right"/>
      <protection locked="0"/>
    </xf>
    <xf numFmtId="164" fontId="14" fillId="0" borderId="0" xfId="0" applyFont="1" applyAlignment="1" applyProtection="1" quotePrefix="1">
      <alignment/>
      <protection locked="0"/>
    </xf>
    <xf numFmtId="164" fontId="9" fillId="0" borderId="0" xfId="0" applyFont="1" applyAlignment="1" quotePrefix="1">
      <alignment horizontal="left"/>
    </xf>
    <xf numFmtId="3" fontId="11" fillId="0" borderId="0" xfId="0" applyNumberFormat="1" applyFont="1" applyAlignment="1">
      <alignment/>
    </xf>
    <xf numFmtId="3" fontId="11" fillId="0" borderId="3" xfId="0" applyNumberFormat="1" applyFont="1" applyBorder="1" applyAlignment="1">
      <alignment/>
    </xf>
    <xf numFmtId="164" fontId="9" fillId="0" borderId="0" xfId="0" applyFont="1" applyAlignment="1" quotePrefix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3" fontId="9" fillId="0" borderId="0" xfId="0" applyNumberFormat="1" applyFont="1" applyAlignment="1">
      <alignment horizontal="right"/>
    </xf>
    <xf numFmtId="174" fontId="17" fillId="0" borderId="0" xfId="0" applyNumberFormat="1" applyFont="1" applyAlignment="1" applyProtection="1" quotePrefix="1">
      <alignment/>
      <protection locked="0"/>
    </xf>
    <xf numFmtId="164" fontId="12" fillId="0" borderId="0" xfId="0" applyFont="1" applyAlignment="1" quotePrefix="1">
      <alignment horizontal="right"/>
    </xf>
    <xf numFmtId="174" fontId="17" fillId="0" borderId="0" xfId="21" applyNumberFormat="1" applyFont="1" applyAlignment="1" applyProtection="1" quotePrefix="1">
      <alignment/>
      <protection locked="0"/>
    </xf>
    <xf numFmtId="174" fontId="12" fillId="0" borderId="0" xfId="0" applyNumberFormat="1" applyFont="1" applyAlignment="1" applyProtection="1" quotePrefix="1">
      <alignment horizontal="centerContinuous"/>
      <protection locked="0"/>
    </xf>
    <xf numFmtId="164" fontId="14" fillId="3" borderId="4" xfId="0" applyFont="1" applyFill="1" applyBorder="1" applyAlignment="1" applyProtection="1" quotePrefix="1">
      <alignment/>
      <protection locked="0"/>
    </xf>
    <xf numFmtId="164" fontId="15" fillId="3" borderId="5" xfId="0" applyFont="1" applyFill="1" applyBorder="1" applyAlignment="1">
      <alignment/>
    </xf>
    <xf numFmtId="164" fontId="15" fillId="3" borderId="6" xfId="0" applyFont="1" applyFill="1" applyBorder="1" applyAlignment="1">
      <alignment/>
    </xf>
    <xf numFmtId="164" fontId="12" fillId="3" borderId="7" xfId="0" applyFont="1" applyFill="1" applyBorder="1" applyAlignment="1" applyProtection="1" quotePrefix="1">
      <alignment/>
      <protection locked="0"/>
    </xf>
    <xf numFmtId="174" fontId="12" fillId="3" borderId="3" xfId="0" applyNumberFormat="1" applyFont="1" applyFill="1" applyBorder="1" applyAlignment="1" applyProtection="1" quotePrefix="1">
      <alignment/>
      <protection locked="0"/>
    </xf>
    <xf numFmtId="174" fontId="12" fillId="3" borderId="8" xfId="0" applyNumberFormat="1" applyFont="1" applyFill="1" applyBorder="1" applyAlignment="1" applyProtection="1" quotePrefix="1">
      <alignment/>
      <protection locked="0"/>
    </xf>
    <xf numFmtId="1" fontId="12" fillId="0" borderId="0" xfId="0" applyNumberFormat="1" applyFont="1" applyAlignment="1" applyProtection="1" quotePrefix="1">
      <alignment/>
      <protection/>
    </xf>
    <xf numFmtId="164" fontId="12" fillId="3" borderId="1" xfId="0" applyFont="1" applyFill="1" applyBorder="1" applyAlignment="1" applyProtection="1">
      <alignment/>
      <protection locked="0"/>
    </xf>
    <xf numFmtId="174" fontId="12" fillId="3" borderId="0" xfId="0" applyNumberFormat="1" applyFont="1" applyFill="1" applyBorder="1" applyAlignment="1" applyProtection="1" quotePrefix="1">
      <alignment/>
      <protection locked="0"/>
    </xf>
    <xf numFmtId="174" fontId="12" fillId="3" borderId="2" xfId="0" applyNumberFormat="1" applyFont="1" applyFill="1" applyBorder="1" applyAlignment="1" applyProtection="1" quotePrefix="1">
      <alignment/>
      <protection locked="0"/>
    </xf>
    <xf numFmtId="164" fontId="12" fillId="3" borderId="7" xfId="0" applyFont="1" applyFill="1" applyBorder="1" applyAlignment="1" applyProtection="1">
      <alignment/>
      <protection locked="0"/>
    </xf>
    <xf numFmtId="1" fontId="12" fillId="0" borderId="0" xfId="0" applyNumberFormat="1" applyFont="1" applyAlignment="1" quotePrefix="1">
      <alignment/>
    </xf>
    <xf numFmtId="174" fontId="12" fillId="0" borderId="0" xfId="0" applyNumberFormat="1" applyFont="1" applyAlignment="1" applyProtection="1" quotePrefix="1">
      <alignment horizontal="right"/>
      <protection locked="0"/>
    </xf>
    <xf numFmtId="164" fontId="10" fillId="0" borderId="0" xfId="0" applyFont="1" applyAlignment="1">
      <alignment/>
    </xf>
    <xf numFmtId="166" fontId="11" fillId="0" borderId="0" xfId="21" applyNumberFormat="1" applyFont="1" applyBorder="1" applyAlignment="1">
      <alignment horizontal="right"/>
    </xf>
    <xf numFmtId="164" fontId="1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3" xfId="0" applyFont="1" applyBorder="1" applyAlignment="1">
      <alignment horizontal="center"/>
    </xf>
    <xf numFmtId="164" fontId="10" fillId="0" borderId="0" xfId="0" applyFont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164" fontId="10" fillId="0" borderId="0" xfId="0" applyFont="1" applyAlignment="1" applyProtection="1" quotePrefix="1">
      <alignment horizontal="centerContinuous"/>
      <protection locked="0"/>
    </xf>
    <xf numFmtId="164" fontId="9" fillId="0" borderId="0" xfId="0" applyFont="1" applyAlignment="1" applyProtection="1" quotePrefix="1">
      <alignment horizontal="centerContinuous"/>
      <protection locked="0"/>
    </xf>
    <xf numFmtId="164" fontId="9" fillId="0" borderId="0" xfId="0" applyFont="1" applyAlignment="1" applyProtection="1" quotePrefix="1">
      <alignment/>
      <protection/>
    </xf>
    <xf numFmtId="164" fontId="9" fillId="0" borderId="0" xfId="0" applyFont="1" applyAlignment="1" applyProtection="1" quotePrefix="1">
      <alignment/>
      <protection locked="0"/>
    </xf>
    <xf numFmtId="164" fontId="9" fillId="0" borderId="0" xfId="0" applyFont="1" applyAlignment="1" applyProtection="1">
      <alignment horizontal="right"/>
      <protection locked="0"/>
    </xf>
    <xf numFmtId="164" fontId="9" fillId="0" borderId="0" xfId="0" applyFont="1" applyAlignment="1" applyProtection="1" quotePrefix="1">
      <alignment horizontal="right"/>
      <protection locked="0"/>
    </xf>
    <xf numFmtId="164" fontId="10" fillId="0" borderId="0" xfId="0" applyFont="1" applyAlignment="1" applyProtection="1">
      <alignment horizontal="right"/>
      <protection locked="0"/>
    </xf>
    <xf numFmtId="164" fontId="10" fillId="0" borderId="0" xfId="0" applyFont="1" applyAlignment="1" applyProtection="1" quotePrefix="1">
      <alignment/>
      <protection locked="0"/>
    </xf>
    <xf numFmtId="164" fontId="21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 quotePrefix="1">
      <alignment horizontal="left"/>
      <protection locked="0"/>
    </xf>
    <xf numFmtId="174" fontId="9" fillId="0" borderId="0" xfId="0" applyNumberFormat="1" applyFont="1" applyAlignment="1" applyProtection="1" quotePrefix="1">
      <alignment/>
      <protection locked="0"/>
    </xf>
    <xf numFmtId="164" fontId="9" fillId="0" borderId="0" xfId="0" applyFont="1" applyAlignment="1" applyProtection="1">
      <alignment horizontal="left"/>
      <protection locked="0"/>
    </xf>
    <xf numFmtId="164" fontId="9" fillId="0" borderId="0" xfId="0" applyFont="1" applyAlignment="1" applyProtection="1">
      <alignment/>
      <protection locked="0"/>
    </xf>
    <xf numFmtId="164" fontId="10" fillId="0" borderId="0" xfId="0" applyFont="1" applyAlignment="1" applyProtection="1" quotePrefix="1">
      <alignment horizontal="left"/>
      <protection locked="0"/>
    </xf>
    <xf numFmtId="174" fontId="9" fillId="0" borderId="0" xfId="0" applyNumberFormat="1" applyFont="1" applyAlignment="1" applyProtection="1">
      <alignment/>
      <protection locked="0"/>
    </xf>
    <xf numFmtId="164" fontId="10" fillId="0" borderId="0" xfId="0" applyFont="1" applyAlignment="1" applyProtection="1">
      <alignment/>
      <protection locked="0"/>
    </xf>
    <xf numFmtId="164" fontId="21" fillId="0" borderId="0" xfId="0" applyFont="1" applyAlignment="1" applyProtection="1" quotePrefix="1">
      <alignment/>
      <protection locked="0"/>
    </xf>
    <xf numFmtId="174" fontId="21" fillId="0" borderId="0" xfId="0" applyNumberFormat="1" applyFont="1" applyAlignment="1" applyProtection="1" quotePrefix="1">
      <alignment/>
      <protection locked="0"/>
    </xf>
    <xf numFmtId="174" fontId="9" fillId="0" borderId="0" xfId="0" applyNumberFormat="1" applyFont="1" applyAlignment="1" applyProtection="1" quotePrefix="1">
      <alignment horizontal="centerContinuous"/>
      <protection locked="0"/>
    </xf>
    <xf numFmtId="1" fontId="9" fillId="0" borderId="0" xfId="0" applyNumberFormat="1" applyFont="1" applyAlignment="1" applyProtection="1" quotePrefix="1">
      <alignment/>
      <protection/>
    </xf>
    <xf numFmtId="10" fontId="9" fillId="0" borderId="0" xfId="0" applyNumberFormat="1" applyFont="1" applyAlignment="1" applyProtection="1" quotePrefix="1">
      <alignment horizontal="right"/>
      <protection locked="0"/>
    </xf>
    <xf numFmtId="10" fontId="9" fillId="0" borderId="0" xfId="0" applyNumberFormat="1" applyFont="1" applyAlignment="1" applyProtection="1" quotePrefix="1">
      <alignment/>
      <protection locked="0"/>
    </xf>
    <xf numFmtId="10" fontId="9" fillId="0" borderId="0" xfId="21" applyNumberFormat="1" applyFont="1" applyAlignment="1" applyProtection="1">
      <alignment horizontal="right"/>
      <protection locked="0"/>
    </xf>
    <xf numFmtId="10" fontId="9" fillId="0" borderId="0" xfId="21" applyNumberFormat="1" applyFont="1" applyAlignment="1" applyProtection="1">
      <alignment/>
      <protection locked="0"/>
    </xf>
    <xf numFmtId="174" fontId="9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4" fontId="9" fillId="0" borderId="0" xfId="0" applyNumberFormat="1" applyFont="1" applyBorder="1" applyAlignment="1">
      <alignment/>
    </xf>
    <xf numFmtId="174" fontId="9" fillId="0" borderId="9" xfId="0" applyNumberFormat="1" applyFont="1" applyBorder="1" applyAlignment="1">
      <alignment/>
    </xf>
    <xf numFmtId="164" fontId="22" fillId="0" borderId="0" xfId="0" applyFont="1" applyAlignment="1" applyProtection="1" quotePrefix="1">
      <alignment/>
      <protection/>
    </xf>
    <xf numFmtId="164" fontId="23" fillId="0" borderId="0" xfId="0" applyFont="1" applyAlignment="1">
      <alignment/>
    </xf>
    <xf numFmtId="1" fontId="22" fillId="0" borderId="0" xfId="0" applyNumberFormat="1" applyFont="1" applyAlignment="1" applyProtection="1" quotePrefix="1">
      <alignment/>
      <protection/>
    </xf>
    <xf numFmtId="164" fontId="21" fillId="0" borderId="0" xfId="0" applyFont="1" applyAlignment="1" applyProtection="1" quotePrefix="1">
      <alignment horizontal="left"/>
      <protection locked="0"/>
    </xf>
    <xf numFmtId="164" fontId="9" fillId="0" borderId="0" xfId="0" applyFont="1" applyAlignment="1" quotePrefix="1">
      <alignment/>
    </xf>
    <xf numFmtId="1" fontId="9" fillId="0" borderId="10" xfId="0" applyNumberFormat="1" applyFont="1" applyFill="1" applyBorder="1" applyAlignment="1">
      <alignment horizontal="center"/>
    </xf>
    <xf numFmtId="164" fontId="9" fillId="0" borderId="0" xfId="0" applyFont="1" applyAlignment="1">
      <alignment horizontal="left"/>
    </xf>
    <xf numFmtId="164" fontId="24" fillId="0" borderId="0" xfId="0" applyFont="1" applyAlignment="1">
      <alignment/>
    </xf>
    <xf numFmtId="174" fontId="10" fillId="0" borderId="0" xfId="0" applyNumberFormat="1" applyFont="1" applyAlignment="1" applyProtection="1" quotePrefix="1">
      <alignment/>
      <protection locked="0"/>
    </xf>
    <xf numFmtId="174" fontId="10" fillId="0" borderId="0" xfId="0" applyNumberFormat="1" applyFont="1" applyBorder="1" applyAlignment="1">
      <alignment/>
    </xf>
    <xf numFmtId="164" fontId="10" fillId="0" borderId="0" xfId="0" applyFont="1" applyAlignment="1" applyProtection="1">
      <alignment horizontal="left"/>
      <protection locked="0"/>
    </xf>
    <xf numFmtId="15" fontId="9" fillId="0" borderId="0" xfId="0" applyNumberFormat="1" applyFont="1" applyAlignment="1" applyProtection="1" quotePrefix="1">
      <alignment horizontal="left"/>
      <protection locked="0"/>
    </xf>
    <xf numFmtId="15" fontId="9" fillId="0" borderId="0" xfId="0" applyNumberFormat="1" applyFont="1" applyAlignment="1" applyProtection="1" quotePrefix="1">
      <alignment horizontal="centerContinuous"/>
      <protection locked="0"/>
    </xf>
    <xf numFmtId="164" fontId="9" fillId="0" borderId="0" xfId="0" applyFont="1" applyFill="1" applyAlignment="1" applyProtection="1">
      <alignment horizontal="centerContinuous"/>
      <protection locked="0"/>
    </xf>
    <xf numFmtId="164" fontId="9" fillId="0" borderId="0" xfId="0" applyFont="1" applyFill="1" applyAlignment="1" applyProtection="1">
      <alignment/>
      <protection locked="0"/>
    </xf>
    <xf numFmtId="164" fontId="11" fillId="0" borderId="0" xfId="0" applyFont="1" applyAlignment="1" applyProtection="1" quotePrefix="1">
      <alignment/>
      <protection locked="0"/>
    </xf>
    <xf numFmtId="10" fontId="11" fillId="0" borderId="0" xfId="0" applyNumberFormat="1" applyFont="1" applyAlignment="1" applyProtection="1" quotePrefix="1">
      <alignment/>
      <protection locked="0"/>
    </xf>
    <xf numFmtId="10" fontId="11" fillId="0" borderId="0" xfId="21" applyNumberFormat="1" applyFont="1" applyAlignment="1" applyProtection="1" quotePrefix="1">
      <alignment horizontal="right"/>
      <protection locked="0"/>
    </xf>
    <xf numFmtId="166" fontId="9" fillId="0" borderId="0" xfId="0" applyNumberFormat="1" applyFont="1" applyAlignment="1" applyProtection="1">
      <alignment horizontal="centerContinuous"/>
      <protection locked="0"/>
    </xf>
    <xf numFmtId="2" fontId="11" fillId="0" borderId="0" xfId="0" applyNumberFormat="1" applyFont="1" applyAlignment="1" applyProtection="1" quotePrefix="1">
      <alignment/>
      <protection locked="0"/>
    </xf>
    <xf numFmtId="174" fontId="9" fillId="0" borderId="0" xfId="0" applyNumberFormat="1" applyFont="1" applyAlignment="1" applyProtection="1">
      <alignment horizontal="centerContinuous"/>
      <protection locked="0"/>
    </xf>
    <xf numFmtId="1" fontId="11" fillId="0" borderId="0" xfId="0" applyNumberFormat="1" applyFont="1" applyAlignment="1" applyProtection="1" quotePrefix="1">
      <alignment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0" fontId="11" fillId="0" borderId="0" xfId="21" applyNumberFormat="1" applyFont="1" applyAlignment="1" applyProtection="1" quotePrefix="1">
      <alignment/>
      <protection locked="0"/>
    </xf>
    <xf numFmtId="2" fontId="9" fillId="0" borderId="0" xfId="0" applyNumberFormat="1" applyFont="1" applyAlignment="1" applyProtection="1" quotePrefix="1">
      <alignment/>
      <protection locked="0"/>
    </xf>
    <xf numFmtId="177" fontId="9" fillId="0" borderId="0" xfId="0" applyNumberFormat="1" applyFont="1" applyAlignment="1" applyProtection="1" quotePrefix="1">
      <alignment/>
      <protection locked="0"/>
    </xf>
    <xf numFmtId="9" fontId="9" fillId="0" borderId="0" xfId="0" applyNumberFormat="1" applyFont="1" applyAlignment="1" applyProtection="1">
      <alignment/>
      <protection locked="0"/>
    </xf>
    <xf numFmtId="9" fontId="11" fillId="0" borderId="0" xfId="21" applyFont="1" applyAlignment="1" applyProtection="1" quotePrefix="1">
      <alignment/>
      <protection locked="0"/>
    </xf>
    <xf numFmtId="164" fontId="25" fillId="0" borderId="0" xfId="0" applyFont="1" applyAlignment="1" applyProtection="1">
      <alignment/>
      <protection locked="0"/>
    </xf>
    <xf numFmtId="9" fontId="11" fillId="0" borderId="0" xfId="0" applyNumberFormat="1" applyFont="1" applyAlignment="1">
      <alignment/>
    </xf>
    <xf numFmtId="9" fontId="9" fillId="0" borderId="0" xfId="21" applyFont="1" applyAlignment="1">
      <alignment/>
    </xf>
    <xf numFmtId="164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right"/>
    </xf>
    <xf numFmtId="0" fontId="9" fillId="0" borderId="3" xfId="0" applyNumberFormat="1" applyFont="1" applyBorder="1" applyAlignment="1">
      <alignment horizontal="center" wrapText="1"/>
    </xf>
    <xf numFmtId="164" fontId="9" fillId="0" borderId="3" xfId="0" applyFont="1" applyBorder="1" applyAlignment="1" quotePrefix="1">
      <alignment horizontal="center"/>
    </xf>
    <xf numFmtId="2" fontId="1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0" xfId="0" applyFont="1" applyBorder="1" applyAlignment="1">
      <alignment horizontal="center"/>
    </xf>
    <xf numFmtId="175" fontId="9" fillId="0" borderId="0" xfId="0" applyNumberFormat="1" applyFont="1" applyBorder="1" applyAlignment="1">
      <alignment/>
    </xf>
    <xf numFmtId="164" fontId="21" fillId="0" borderId="0" xfId="0" applyFont="1" applyAlignment="1">
      <alignment/>
    </xf>
    <xf numFmtId="2" fontId="9" fillId="0" borderId="0" xfId="0" applyNumberFormat="1" applyFont="1" applyBorder="1" applyAlignment="1">
      <alignment horizontal="center"/>
    </xf>
    <xf numFmtId="164" fontId="26" fillId="0" borderId="0" xfId="0" applyFont="1" applyAlignment="1">
      <alignment/>
    </xf>
    <xf numFmtId="164" fontId="10" fillId="0" borderId="5" xfId="0" applyFont="1" applyBorder="1" applyAlignment="1">
      <alignment/>
    </xf>
    <xf numFmtId="164" fontId="10" fillId="0" borderId="0" xfId="0" applyFont="1" applyAlignment="1" quotePrefix="1">
      <alignment horizontal="left"/>
    </xf>
    <xf numFmtId="170" fontId="9" fillId="0" borderId="0" xfId="0" applyNumberFormat="1" applyFont="1" applyAlignment="1" applyProtection="1" quotePrefix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164" fontId="11" fillId="0" borderId="0" xfId="0" applyFont="1" applyAlignment="1" applyProtection="1">
      <alignment horizontal="right"/>
      <protection locked="0"/>
    </xf>
    <xf numFmtId="166" fontId="11" fillId="0" borderId="0" xfId="21" applyNumberFormat="1" applyFont="1" applyAlignment="1" applyProtection="1" quotePrefix="1">
      <alignment/>
      <protection locked="0"/>
    </xf>
    <xf numFmtId="164" fontId="9" fillId="0" borderId="0" xfId="0" applyFont="1" applyAlignment="1" applyProtection="1" quotePrefix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 quotePrefix="1">
      <alignment horizontal="center"/>
      <protection locked="0"/>
    </xf>
    <xf numFmtId="164" fontId="10" fillId="0" borderId="4" xfId="0" applyFont="1" applyBorder="1" applyAlignment="1" applyProtection="1">
      <alignment/>
      <protection locked="0"/>
    </xf>
    <xf numFmtId="164" fontId="9" fillId="0" borderId="5" xfId="0" applyFont="1" applyBorder="1" applyAlignment="1" applyProtection="1" quotePrefix="1">
      <alignment horizontal="center"/>
      <protection locked="0"/>
    </xf>
    <xf numFmtId="164" fontId="9" fillId="0" borderId="6" xfId="0" applyFont="1" applyBorder="1" applyAlignment="1" applyProtection="1" quotePrefix="1">
      <alignment horizontal="center"/>
      <protection locked="0"/>
    </xf>
    <xf numFmtId="164" fontId="9" fillId="0" borderId="1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 quotePrefix="1">
      <alignment horizontal="right"/>
      <protection locked="0"/>
    </xf>
    <xf numFmtId="164" fontId="9" fillId="0" borderId="2" xfId="0" applyFont="1" applyBorder="1" applyAlignment="1" applyProtection="1" quotePrefix="1">
      <alignment horizontal="right"/>
      <protection locked="0"/>
    </xf>
    <xf numFmtId="164" fontId="10" fillId="0" borderId="1" xfId="0" applyFont="1" applyBorder="1" applyAlignment="1" applyProtection="1">
      <alignment horizontal="right"/>
      <protection locked="0"/>
    </xf>
    <xf numFmtId="164" fontId="9" fillId="0" borderId="1" xfId="0" applyFont="1" applyBorder="1" applyAlignment="1" applyProtection="1">
      <alignment/>
      <protection locked="0"/>
    </xf>
    <xf numFmtId="164" fontId="9" fillId="0" borderId="0" xfId="0" applyFont="1" applyBorder="1" applyAlignment="1" applyProtection="1" quotePrefix="1">
      <alignment horizontal="center"/>
      <protection locked="0"/>
    </xf>
    <xf numFmtId="164" fontId="9" fillId="0" borderId="2" xfId="0" applyFont="1" applyBorder="1" applyAlignment="1" applyProtection="1" quotePrefix="1">
      <alignment horizontal="center"/>
      <protection locked="0"/>
    </xf>
    <xf numFmtId="164" fontId="10" fillId="0" borderId="1" xfId="0" applyFont="1" applyBorder="1" applyAlignment="1" applyProtection="1">
      <alignment horizontal="center"/>
      <protection locked="0"/>
    </xf>
    <xf numFmtId="9" fontId="11" fillId="0" borderId="0" xfId="0" applyNumberFormat="1" applyFont="1" applyBorder="1" applyAlignment="1" applyProtection="1" quotePrefix="1">
      <alignment horizontal="center"/>
      <protection locked="0"/>
    </xf>
    <xf numFmtId="9" fontId="11" fillId="0" borderId="2" xfId="0" applyNumberFormat="1" applyFont="1" applyBorder="1" applyAlignment="1" applyProtection="1" quotePrefix="1">
      <alignment horizontal="center"/>
      <protection locked="0"/>
    </xf>
    <xf numFmtId="164" fontId="10" fillId="0" borderId="7" xfId="0" applyFont="1" applyBorder="1" applyAlignment="1" applyProtection="1">
      <alignment horizontal="center"/>
      <protection locked="0"/>
    </xf>
    <xf numFmtId="9" fontId="11" fillId="0" borderId="3" xfId="0" applyNumberFormat="1" applyFont="1" applyBorder="1" applyAlignment="1" applyProtection="1" quotePrefix="1">
      <alignment horizontal="center"/>
      <protection locked="0"/>
    </xf>
    <xf numFmtId="9" fontId="11" fillId="0" borderId="8" xfId="0" applyNumberFormat="1" applyFont="1" applyBorder="1" applyAlignment="1" applyProtection="1" quotePrefix="1">
      <alignment horizontal="center"/>
      <protection locked="0"/>
    </xf>
    <xf numFmtId="1" fontId="9" fillId="0" borderId="0" xfId="0" applyNumberFormat="1" applyFont="1" applyAlignment="1" applyProtection="1" quotePrefix="1">
      <alignment/>
      <protection locked="0"/>
    </xf>
    <xf numFmtId="164" fontId="9" fillId="0" borderId="0" xfId="0" applyFont="1" applyAlignment="1" applyProtection="1">
      <alignment horizontal="center"/>
      <protection locked="0"/>
    </xf>
    <xf numFmtId="176" fontId="9" fillId="0" borderId="0" xfId="0" applyNumberFormat="1" applyFont="1" applyAlignment="1" applyProtection="1" quotePrefix="1">
      <alignment/>
      <protection locked="0"/>
    </xf>
    <xf numFmtId="175" fontId="9" fillId="0" borderId="0" xfId="0" applyNumberFormat="1" applyFont="1" applyAlignment="1" applyProtection="1" quotePrefix="1">
      <alignment/>
      <protection locked="0"/>
    </xf>
    <xf numFmtId="1" fontId="9" fillId="0" borderId="0" xfId="0" applyNumberFormat="1" applyFont="1" applyAlignment="1" applyProtection="1" quotePrefix="1">
      <alignment horizontal="left"/>
      <protection locked="0"/>
    </xf>
    <xf numFmtId="174" fontId="25" fillId="0" borderId="0" xfId="0" applyNumberFormat="1" applyFont="1" applyAlignment="1" applyProtection="1">
      <alignment/>
      <protection locked="0"/>
    </xf>
    <xf numFmtId="164" fontId="26" fillId="0" borderId="0" xfId="0" applyFont="1" applyAlignment="1" applyProtection="1">
      <alignment/>
      <protection locked="0"/>
    </xf>
    <xf numFmtId="1" fontId="10" fillId="0" borderId="0" xfId="0" applyNumberFormat="1" applyFont="1" applyAlignment="1" applyProtection="1" quotePrefix="1">
      <alignment horizontal="left"/>
      <protection locked="0"/>
    </xf>
    <xf numFmtId="1" fontId="9" fillId="0" borderId="0" xfId="0" applyNumberFormat="1" applyFont="1" applyAlignment="1" applyProtection="1" quotePrefix="1">
      <alignment horizontal="right"/>
      <protection locked="0"/>
    </xf>
    <xf numFmtId="2" fontId="9" fillId="0" borderId="0" xfId="0" applyNumberFormat="1" applyFont="1" applyAlignment="1" applyProtection="1" quotePrefix="1">
      <alignment horizontal="right"/>
      <protection locked="0"/>
    </xf>
    <xf numFmtId="171" fontId="9" fillId="0" borderId="0" xfId="0" applyNumberFormat="1" applyFont="1" applyAlignment="1" applyProtection="1">
      <alignment/>
      <protection locked="0"/>
    </xf>
    <xf numFmtId="5" fontId="11" fillId="0" borderId="0" xfId="15" applyNumberFormat="1" applyFont="1" applyAlignment="1" applyProtection="1">
      <alignment/>
      <protection locked="0"/>
    </xf>
    <xf numFmtId="9" fontId="11" fillId="0" borderId="0" xfId="21" applyFont="1" applyAlignment="1" applyProtection="1">
      <alignment/>
      <protection locked="0"/>
    </xf>
    <xf numFmtId="174" fontId="14" fillId="0" borderId="0" xfId="0" applyNumberFormat="1" applyFont="1" applyAlignment="1" applyProtection="1" quotePrefix="1">
      <alignment/>
      <protection locked="0"/>
    </xf>
    <xf numFmtId="164" fontId="10" fillId="0" borderId="4" xfId="0" applyFont="1" applyBorder="1" applyAlignment="1" applyProtection="1" quotePrefix="1">
      <alignment/>
      <protection locked="0"/>
    </xf>
    <xf numFmtId="174" fontId="9" fillId="0" borderId="5" xfId="0" applyNumberFormat="1" applyFont="1" applyBorder="1" applyAlignment="1" applyProtection="1" quotePrefix="1">
      <alignment/>
      <protection locked="0"/>
    </xf>
    <xf numFmtId="174" fontId="9" fillId="0" borderId="6" xfId="0" applyNumberFormat="1" applyFont="1" applyBorder="1" applyAlignment="1" applyProtection="1" quotePrefix="1">
      <alignment/>
      <protection locked="0"/>
    </xf>
    <xf numFmtId="1" fontId="9" fillId="0" borderId="1" xfId="0" applyNumberFormat="1" applyFont="1" applyBorder="1" applyAlignment="1" applyProtection="1" quotePrefix="1">
      <alignment horizontal="center"/>
      <protection locked="0"/>
    </xf>
    <xf numFmtId="1" fontId="9" fillId="0" borderId="0" xfId="0" applyNumberFormat="1" applyFont="1" applyBorder="1" applyAlignment="1" applyProtection="1" quotePrefix="1">
      <alignment/>
      <protection locked="0"/>
    </xf>
    <xf numFmtId="1" fontId="9" fillId="0" borderId="2" xfId="0" applyNumberFormat="1" applyFont="1" applyBorder="1" applyAlignment="1" applyProtection="1" quotePrefix="1">
      <alignment/>
      <protection locked="0"/>
    </xf>
    <xf numFmtId="164" fontId="9" fillId="0" borderId="1" xfId="0" applyFont="1" applyBorder="1" applyAlignment="1" applyProtection="1" quotePrefix="1">
      <alignment horizontal="left"/>
      <protection locked="0"/>
    </xf>
    <xf numFmtId="174" fontId="9" fillId="0" borderId="0" xfId="0" applyNumberFormat="1" applyFont="1" applyBorder="1" applyAlignment="1" applyProtection="1" quotePrefix="1">
      <alignment/>
      <protection locked="0"/>
    </xf>
    <xf numFmtId="174" fontId="9" fillId="0" borderId="2" xfId="0" applyNumberFormat="1" applyFont="1" applyBorder="1" applyAlignment="1" applyProtection="1" quotePrefix="1">
      <alignment/>
      <protection locked="0"/>
    </xf>
    <xf numFmtId="174" fontId="9" fillId="0" borderId="0" xfId="0" applyNumberFormat="1" applyFont="1" applyAlignment="1" applyProtection="1" quotePrefix="1">
      <alignment/>
      <protection/>
    </xf>
    <xf numFmtId="174" fontId="9" fillId="0" borderId="0" xfId="0" applyNumberFormat="1" applyFont="1" applyBorder="1" applyAlignment="1" applyProtection="1" quotePrefix="1">
      <alignment horizontal="right"/>
      <protection locked="0"/>
    </xf>
    <xf numFmtId="174" fontId="9" fillId="0" borderId="2" xfId="0" applyNumberFormat="1" applyFont="1" applyBorder="1" applyAlignment="1" applyProtection="1" quotePrefix="1">
      <alignment horizontal="right"/>
      <protection locked="0"/>
    </xf>
    <xf numFmtId="164" fontId="9" fillId="0" borderId="1" xfId="0" applyFont="1" applyBorder="1" applyAlignment="1" applyProtection="1">
      <alignment horizontal="left"/>
      <protection locked="0"/>
    </xf>
    <xf numFmtId="164" fontId="9" fillId="0" borderId="7" xfId="0" applyFont="1" applyBorder="1" applyAlignment="1" applyProtection="1">
      <alignment horizontal="left"/>
      <protection locked="0"/>
    </xf>
    <xf numFmtId="174" fontId="9" fillId="0" borderId="3" xfId="0" applyNumberFormat="1" applyFont="1" applyBorder="1" applyAlignment="1" applyProtection="1" quotePrefix="1">
      <alignment/>
      <protection locked="0"/>
    </xf>
    <xf numFmtId="174" fontId="9" fillId="0" borderId="8" xfId="0" applyNumberFormat="1" applyFont="1" applyBorder="1" applyAlignment="1" applyProtection="1" quotePrefix="1">
      <alignment/>
      <protection locked="0"/>
    </xf>
    <xf numFmtId="166" fontId="10" fillId="0" borderId="0" xfId="21" applyNumberFormat="1" applyFont="1" applyBorder="1" applyAlignment="1" applyProtection="1" quotePrefix="1">
      <alignment horizontal="right"/>
      <protection locked="0"/>
    </xf>
    <xf numFmtId="175" fontId="9" fillId="0" borderId="0" xfId="0" applyNumberFormat="1" applyFont="1" applyAlignment="1" applyProtection="1" quotePrefix="1">
      <alignment horizontal="right"/>
      <protection locked="0"/>
    </xf>
    <xf numFmtId="166" fontId="9" fillId="0" borderId="0" xfId="0" applyNumberFormat="1" applyFont="1" applyAlignment="1" applyProtection="1" quotePrefix="1">
      <alignment horizontal="right"/>
      <protection locked="0"/>
    </xf>
    <xf numFmtId="166" fontId="9" fillId="0" borderId="0" xfId="0" applyNumberFormat="1" applyFont="1" applyAlignment="1" applyProtection="1" quotePrefix="1">
      <alignment/>
      <protection locked="0"/>
    </xf>
    <xf numFmtId="164" fontId="25" fillId="0" borderId="0" xfId="0" applyFont="1" applyAlignment="1" applyProtection="1" quotePrefix="1">
      <alignment horizontal="right"/>
      <protection locked="0"/>
    </xf>
    <xf numFmtId="166" fontId="25" fillId="0" borderId="0" xfId="0" applyNumberFormat="1" applyFont="1" applyAlignment="1" applyProtection="1" quotePrefix="1">
      <alignment/>
      <protection locked="0"/>
    </xf>
    <xf numFmtId="166" fontId="25" fillId="0" borderId="0" xfId="0" applyNumberFormat="1" applyFont="1" applyAlignment="1" applyProtection="1">
      <alignment/>
      <protection locked="0"/>
    </xf>
    <xf numFmtId="164" fontId="10" fillId="0" borderId="4" xfId="0" applyFont="1" applyBorder="1" applyAlignment="1">
      <alignment/>
    </xf>
    <xf numFmtId="164" fontId="10" fillId="0" borderId="1" xfId="0" applyFont="1" applyBorder="1" applyAlignment="1">
      <alignment/>
    </xf>
    <xf numFmtId="174" fontId="9" fillId="0" borderId="2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64" fontId="10" fillId="0" borderId="2" xfId="0" applyFont="1" applyBorder="1" applyAlignment="1">
      <alignment/>
    </xf>
    <xf numFmtId="164" fontId="9" fillId="0" borderId="0" xfId="0" applyFont="1" applyBorder="1" applyAlignment="1" quotePrefix="1">
      <alignment/>
    </xf>
    <xf numFmtId="164" fontId="0" fillId="0" borderId="0" xfId="0" applyBorder="1" applyAlignment="1">
      <alignment/>
    </xf>
    <xf numFmtId="196" fontId="9" fillId="0" borderId="0" xfId="0" applyNumberFormat="1" applyFont="1" applyBorder="1" applyAlignment="1">
      <alignment/>
    </xf>
    <xf numFmtId="174" fontId="10" fillId="3" borderId="0" xfId="0" applyNumberFormat="1" applyFont="1" applyFill="1" applyBorder="1" applyAlignment="1">
      <alignment/>
    </xf>
    <xf numFmtId="174" fontId="11" fillId="0" borderId="0" xfId="0" applyNumberFormat="1" applyFont="1" applyAlignment="1" applyProtection="1" quotePrefix="1">
      <alignment/>
      <protection locked="0"/>
    </xf>
    <xf numFmtId="166" fontId="10" fillId="0" borderId="0" xfId="0" applyNumberFormat="1" applyFont="1" applyAlignment="1" applyProtection="1" quotePrefix="1">
      <alignment/>
      <protection locked="0"/>
    </xf>
    <xf numFmtId="1" fontId="26" fillId="0" borderId="0" xfId="0" applyNumberFormat="1" applyFont="1" applyAlignment="1" applyProtection="1" quotePrefix="1">
      <alignment/>
      <protection locked="0"/>
    </xf>
    <xf numFmtId="174" fontId="26" fillId="0" borderId="0" xfId="0" applyNumberFormat="1" applyFont="1" applyAlignment="1" applyProtection="1">
      <alignment/>
      <protection locked="0"/>
    </xf>
    <xf numFmtId="174" fontId="9" fillId="0" borderId="0" xfId="0" applyNumberFormat="1" applyFont="1" applyBorder="1" applyAlignment="1" applyProtection="1">
      <alignment/>
      <protection locked="0"/>
    </xf>
    <xf numFmtId="164" fontId="16" fillId="0" borderId="3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wrapText="1"/>
    </xf>
    <xf numFmtId="164" fontId="16" fillId="0" borderId="3" xfId="0" applyFont="1" applyBorder="1" applyAlignment="1">
      <alignment horizontal="center" wrapText="1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16" fillId="0" borderId="0" xfId="0" applyFont="1" applyAlignment="1">
      <alignment/>
    </xf>
    <xf numFmtId="164" fontId="31" fillId="0" borderId="0" xfId="20" applyAlignment="1">
      <alignment/>
    </xf>
    <xf numFmtId="15" fontId="15" fillId="0" borderId="0" xfId="0" applyNumberFormat="1" applyFont="1" applyAlignment="1">
      <alignment horizontal="left" wrapText="1"/>
    </xf>
    <xf numFmtId="15" fontId="30" fillId="0" borderId="0" xfId="0" applyNumberFormat="1" applyFont="1" applyAlignment="1">
      <alignment horizontal="left" wrapText="1"/>
    </xf>
    <xf numFmtId="164" fontId="10" fillId="0" borderId="3" xfId="0" applyFont="1" applyBorder="1" applyAlignment="1">
      <alignment horizontal="center"/>
    </xf>
    <xf numFmtId="164" fontId="26" fillId="0" borderId="12" xfId="0" applyFont="1" applyBorder="1" applyAlignment="1">
      <alignment/>
    </xf>
    <xf numFmtId="164" fontId="26" fillId="0" borderId="9" xfId="0" applyFont="1" applyBorder="1" applyAlignment="1">
      <alignment/>
    </xf>
    <xf numFmtId="164" fontId="26" fillId="0" borderId="11" xfId="0" applyFont="1" applyBorder="1" applyAlignment="1">
      <alignment/>
    </xf>
    <xf numFmtId="198" fontId="9" fillId="0" borderId="0" xfId="17" applyNumberFormat="1" applyFont="1" applyAlignment="1" applyProtection="1" quotePrefix="1">
      <alignment/>
      <protection locked="0"/>
    </xf>
    <xf numFmtId="174" fontId="10" fillId="0" borderId="3" xfId="0" applyNumberFormat="1" applyFont="1" applyBorder="1" applyAlignment="1">
      <alignment/>
    </xf>
    <xf numFmtId="164" fontId="13" fillId="0" borderId="1" xfId="0" applyFont="1" applyBorder="1" applyAlignment="1" applyProtection="1" quotePrefix="1">
      <alignment/>
      <protection locked="0"/>
    </xf>
    <xf numFmtId="198" fontId="9" fillId="0" borderId="0" xfId="17" applyNumberFormat="1" applyFont="1" applyBorder="1" applyAlignment="1" applyProtection="1" quotePrefix="1">
      <alignment/>
      <protection locked="0"/>
    </xf>
    <xf numFmtId="164" fontId="33" fillId="0" borderId="7" xfId="0" applyFont="1" applyBorder="1" applyAlignment="1" applyProtection="1">
      <alignment horizontal="center"/>
      <protection locked="0"/>
    </xf>
    <xf numFmtId="174" fontId="9" fillId="0" borderId="3" xfId="0" applyNumberFormat="1" applyFont="1" applyBorder="1" applyAlignment="1" applyProtection="1">
      <alignment/>
      <protection locked="0"/>
    </xf>
    <xf numFmtId="44" fontId="9" fillId="0" borderId="3" xfId="17" applyNumberFormat="1" applyFont="1" applyBorder="1" applyAlignment="1" applyProtection="1" quotePrefix="1">
      <alignment/>
      <protection locked="0"/>
    </xf>
    <xf numFmtId="164" fontId="24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 quotePrefix="1">
      <alignment horizontal="center"/>
      <protection locked="0"/>
    </xf>
    <xf numFmtId="174" fontId="9" fillId="0" borderId="0" xfId="0" applyNumberFormat="1" applyFont="1" applyBorder="1" applyAlignment="1" applyProtection="1" quotePrefix="1">
      <alignment horizontal="center"/>
      <protection locked="0"/>
    </xf>
    <xf numFmtId="174" fontId="9" fillId="0" borderId="3" xfId="0" applyNumberFormat="1" applyFont="1" applyBorder="1" applyAlignment="1" applyProtection="1" quotePrefix="1">
      <alignment horizontal="center"/>
      <protection locked="0"/>
    </xf>
    <xf numFmtId="164" fontId="27" fillId="0" borderId="0" xfId="0" applyFont="1" applyAlignment="1" quotePrefix="1">
      <alignment/>
    </xf>
    <xf numFmtId="196" fontId="11" fillId="0" borderId="0" xfId="0" applyNumberFormat="1" applyFont="1" applyBorder="1" applyAlignment="1">
      <alignment/>
    </xf>
    <xf numFmtId="164" fontId="10" fillId="0" borderId="1" xfId="0" applyFont="1" applyBorder="1" applyAlignment="1">
      <alignment horizontal="right"/>
    </xf>
    <xf numFmtId="174" fontId="12" fillId="0" borderId="3" xfId="0" applyNumberFormat="1" applyFont="1" applyBorder="1" applyAlignment="1" applyProtection="1" quotePrefix="1">
      <alignment/>
      <protection locked="0"/>
    </xf>
    <xf numFmtId="174" fontId="9" fillId="0" borderId="3" xfId="0" applyNumberFormat="1" applyFont="1" applyBorder="1" applyAlignment="1">
      <alignment/>
    </xf>
    <xf numFmtId="174" fontId="9" fillId="0" borderId="8" xfId="0" applyNumberFormat="1" applyFont="1" applyBorder="1" applyAlignment="1">
      <alignment/>
    </xf>
    <xf numFmtId="164" fontId="24" fillId="0" borderId="0" xfId="0" applyFont="1" applyBorder="1" applyAlignment="1" applyProtection="1">
      <alignment horizontal="left"/>
      <protection locked="0"/>
    </xf>
    <xf numFmtId="164" fontId="35" fillId="0" borderId="0" xfId="0" applyFont="1" applyAlignment="1" applyProtection="1">
      <alignment/>
      <protection locked="0"/>
    </xf>
    <xf numFmtId="164" fontId="34" fillId="0" borderId="0" xfId="0" applyFont="1" applyAlignment="1" applyProtection="1">
      <alignment/>
      <protection locked="0"/>
    </xf>
    <xf numFmtId="164" fontId="34" fillId="0" borderId="0" xfId="0" applyFont="1" applyAlignment="1">
      <alignment/>
    </xf>
    <xf numFmtId="2" fontId="26" fillId="4" borderId="5" xfId="0" applyNumberFormat="1" applyFont="1" applyFill="1" applyBorder="1" applyAlignment="1" applyProtection="1" quotePrefix="1">
      <alignment/>
      <protection locked="0"/>
    </xf>
    <xf numFmtId="174" fontId="26" fillId="4" borderId="5" xfId="0" applyNumberFormat="1" applyFont="1" applyFill="1" applyBorder="1" applyAlignment="1" applyProtection="1">
      <alignment/>
      <protection locked="0"/>
    </xf>
    <xf numFmtId="174" fontId="26" fillId="4" borderId="5" xfId="0" applyNumberFormat="1" applyFont="1" applyFill="1" applyBorder="1" applyAlignment="1" applyProtection="1" quotePrefix="1">
      <alignment/>
      <protection locked="0"/>
    </xf>
    <xf numFmtId="164" fontId="11" fillId="0" borderId="0" xfId="0" applyFont="1" applyAlignment="1" applyProtection="1">
      <alignment horizontal="left"/>
      <protection locked="0"/>
    </xf>
    <xf numFmtId="175" fontId="10" fillId="3" borderId="0" xfId="0" applyNumberFormat="1" applyFont="1" applyFill="1" applyAlignment="1" applyProtection="1" quotePrefix="1">
      <alignment horizontal="center"/>
      <protection locked="0"/>
    </xf>
    <xf numFmtId="9" fontId="9" fillId="0" borderId="0" xfId="0" applyNumberFormat="1" applyFont="1" applyAlignment="1">
      <alignment horizontal="right"/>
    </xf>
    <xf numFmtId="9" fontId="9" fillId="0" borderId="0" xfId="21" applyFont="1" applyAlignment="1">
      <alignment/>
    </xf>
    <xf numFmtId="164" fontId="9" fillId="0" borderId="0" xfId="0" applyFont="1" applyBorder="1" applyAlignment="1">
      <alignment horizontal="left"/>
    </xf>
    <xf numFmtId="44" fontId="9" fillId="0" borderId="0" xfId="17" applyFont="1" applyAlignment="1">
      <alignment/>
    </xf>
    <xf numFmtId="164" fontId="9" fillId="0" borderId="0" xfId="0" applyFont="1" applyAlignment="1" applyProtection="1">
      <alignment horizontal="center" wrapText="1"/>
      <protection locked="0"/>
    </xf>
    <xf numFmtId="9" fontId="9" fillId="0" borderId="0" xfId="21" applyFont="1" applyAlignment="1" applyProtection="1" quotePrefix="1">
      <alignment/>
      <protection locked="0"/>
    </xf>
    <xf numFmtId="2" fontId="11" fillId="0" borderId="0" xfId="0" applyNumberFormat="1" applyFont="1" applyAlignment="1" applyProtection="1" quotePrefix="1">
      <alignment horizontal="right"/>
      <protection locked="0"/>
    </xf>
    <xf numFmtId="174" fontId="9" fillId="0" borderId="0" xfId="0" applyNumberFormat="1" applyFont="1" applyAlignment="1" applyProtection="1" quotePrefix="1">
      <alignment horizontal="right"/>
      <protection locked="0"/>
    </xf>
    <xf numFmtId="175" fontId="10" fillId="0" borderId="0" xfId="0" applyNumberFormat="1" applyFont="1" applyAlignment="1" applyProtection="1" quotePrefix="1">
      <alignment horizontal="right"/>
      <protection locked="0"/>
    </xf>
    <xf numFmtId="164" fontId="21" fillId="0" borderId="0" xfId="0" applyFont="1" applyAlignment="1" applyProtection="1">
      <alignment horizontal="left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164" fontId="24" fillId="0" borderId="0" xfId="0" applyFont="1" applyAlignment="1" applyProtection="1">
      <alignment/>
      <protection locked="0"/>
    </xf>
    <xf numFmtId="174" fontId="11" fillId="0" borderId="0" xfId="0" applyNumberFormat="1" applyFont="1" applyAlignment="1" applyProtection="1" quotePrefix="1">
      <alignment horizontal="right"/>
      <protection locked="0"/>
    </xf>
    <xf numFmtId="2" fontId="34" fillId="0" borderId="0" xfId="0" applyNumberFormat="1" applyFont="1" applyAlignment="1" applyProtection="1" quotePrefix="1">
      <alignment/>
      <protection locked="0"/>
    </xf>
    <xf numFmtId="164" fontId="10" fillId="0" borderId="3" xfId="0" applyFont="1" applyBorder="1" applyAlignment="1" applyProtection="1">
      <alignment/>
      <protection locked="0"/>
    </xf>
    <xf numFmtId="175" fontId="10" fillId="0" borderId="3" xfId="0" applyNumberFormat="1" applyFont="1" applyBorder="1" applyAlignment="1" applyProtection="1" quotePrefix="1">
      <alignment horizontal="right"/>
      <protection locked="0"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2" fontId="10" fillId="0" borderId="0" xfId="0" applyNumberFormat="1" applyFont="1" applyAlignment="1" applyProtection="1" quotePrefix="1">
      <alignment/>
      <protection locked="0"/>
    </xf>
    <xf numFmtId="44" fontId="9" fillId="0" borderId="0" xfId="17" applyFont="1" applyAlignment="1" applyProtection="1" quotePrefix="1">
      <alignment/>
      <protection locked="0"/>
    </xf>
    <xf numFmtId="44" fontId="9" fillId="0" borderId="0" xfId="17" applyFont="1" applyBorder="1" applyAlignment="1">
      <alignment/>
    </xf>
    <xf numFmtId="2" fontId="9" fillId="3" borderId="10" xfId="0" applyNumberFormat="1" applyFont="1" applyFill="1" applyBorder="1" applyAlignment="1">
      <alignment/>
    </xf>
    <xf numFmtId="44" fontId="9" fillId="3" borderId="10" xfId="17" applyFont="1" applyFill="1" applyBorder="1" applyAlignment="1">
      <alignment/>
    </xf>
    <xf numFmtId="44" fontId="9" fillId="3" borderId="0" xfId="0" applyNumberFormat="1" applyFont="1" applyFill="1" applyAlignment="1" applyProtection="1" quotePrefix="1">
      <alignment horizontal="right"/>
      <protection locked="0"/>
    </xf>
    <xf numFmtId="164" fontId="12" fillId="0" borderId="0" xfId="0" applyFont="1" applyAlignment="1">
      <alignment horizontal="center"/>
    </xf>
    <xf numFmtId="1" fontId="24" fillId="0" borderId="0" xfId="0" applyNumberFormat="1" applyFont="1" applyAlignment="1" applyProtection="1">
      <alignment/>
      <protection locked="0"/>
    </xf>
    <xf numFmtId="164" fontId="24" fillId="0" borderId="0" xfId="0" applyFont="1" applyAlignment="1" applyProtection="1">
      <alignment horizontal="left"/>
      <protection locked="0"/>
    </xf>
    <xf numFmtId="166" fontId="9" fillId="0" borderId="0" xfId="21" applyNumberFormat="1" applyFont="1" applyAlignment="1" applyProtection="1" quotePrefix="1">
      <alignment/>
      <protection locked="0"/>
    </xf>
    <xf numFmtId="166" fontId="9" fillId="0" borderId="3" xfId="21" applyNumberFormat="1" applyFont="1" applyBorder="1" applyAlignment="1" applyProtection="1" quotePrefix="1">
      <alignment/>
      <protection locked="0"/>
    </xf>
    <xf numFmtId="44" fontId="9" fillId="0" borderId="0" xfId="0" applyNumberFormat="1" applyFont="1" applyFill="1" applyAlignment="1" applyProtection="1" quotePrefix="1">
      <alignment horizontal="right"/>
      <protection locked="0"/>
    </xf>
    <xf numFmtId="164" fontId="26" fillId="0" borderId="0" xfId="0" applyFont="1" applyAlignment="1" quotePrefix="1">
      <alignment/>
    </xf>
    <xf numFmtId="164" fontId="18" fillId="0" borderId="0" xfId="0" applyFont="1" applyBorder="1" applyAlignment="1" applyProtection="1" quotePrefix="1">
      <alignment/>
      <protection locked="0"/>
    </xf>
    <xf numFmtId="164" fontId="36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 quotePrefix="1">
      <alignment/>
      <protection locked="0"/>
    </xf>
    <xf numFmtId="174" fontId="35" fillId="0" borderId="0" xfId="0" applyNumberFormat="1" applyFont="1" applyAlignment="1" applyProtection="1" quotePrefix="1">
      <alignment/>
      <protection locked="0"/>
    </xf>
    <xf numFmtId="174" fontId="12" fillId="0" borderId="0" xfId="0" applyNumberFormat="1" applyFont="1" applyFill="1" applyAlignment="1" applyProtection="1" quotePrefix="1">
      <alignment/>
      <protection locked="0"/>
    </xf>
    <xf numFmtId="164" fontId="9" fillId="0" borderId="3" xfId="0" applyFont="1" applyBorder="1" applyAlignment="1">
      <alignment horizontal="center" wrapText="1"/>
    </xf>
    <xf numFmtId="164" fontId="36" fillId="0" borderId="0" xfId="0" applyFont="1" applyAlignment="1" applyProtection="1">
      <alignment horizontal="left"/>
      <protection locked="0"/>
    </xf>
    <xf numFmtId="164" fontId="19" fillId="0" borderId="0" xfId="0" applyFont="1" applyAlignment="1" applyProtection="1">
      <alignment horizontal="center"/>
      <protection locked="0"/>
    </xf>
    <xf numFmtId="164" fontId="27" fillId="0" borderId="0" xfId="0" applyFont="1" applyBorder="1" applyAlignment="1">
      <alignment horizontal="right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74" fontId="12" fillId="0" borderId="0" xfId="21" applyNumberFormat="1" applyFont="1" applyAlignment="1" applyProtection="1" quotePrefix="1">
      <alignment/>
      <protection locked="0"/>
    </xf>
    <xf numFmtId="38" fontId="11" fillId="0" borderId="0" xfId="15" applyNumberFormat="1" applyFont="1" applyAlignment="1" applyProtection="1" quotePrefix="1">
      <alignment/>
      <protection locked="0"/>
    </xf>
    <xf numFmtId="38" fontId="11" fillId="0" borderId="0" xfId="15" applyNumberFormat="1" applyFont="1" applyAlignment="1" applyProtection="1">
      <alignment/>
      <protection locked="0"/>
    </xf>
    <xf numFmtId="175" fontId="10" fillId="3" borderId="10" xfId="0" applyNumberFormat="1" applyFont="1" applyFill="1" applyBorder="1" applyAlignment="1" applyProtection="1">
      <alignment horizontal="center"/>
      <protection locked="0"/>
    </xf>
    <xf numFmtId="164" fontId="34" fillId="0" borderId="0" xfId="0" applyFont="1" applyAlignment="1" applyProtection="1" quotePrefix="1">
      <alignment/>
      <protection locked="0"/>
    </xf>
    <xf numFmtId="38" fontId="9" fillId="0" borderId="0" xfId="15" applyNumberFormat="1" applyFont="1" applyAlignment="1" applyProtection="1" quotePrefix="1">
      <alignment/>
      <protection locked="0"/>
    </xf>
    <xf numFmtId="174" fontId="17" fillId="0" borderId="0" xfId="0" applyNumberFormat="1" applyFont="1" applyAlignment="1" applyProtection="1">
      <alignment/>
      <protection locked="0"/>
    </xf>
    <xf numFmtId="166" fontId="34" fillId="0" borderId="0" xfId="21" applyNumberFormat="1" applyFont="1" applyAlignment="1" applyProtection="1" quotePrefix="1">
      <alignment horizontal="center"/>
      <protection locked="0"/>
    </xf>
    <xf numFmtId="15" fontId="37" fillId="0" borderId="0" xfId="0" applyNumberFormat="1" applyFont="1" applyAlignment="1" applyProtection="1">
      <alignment horizontal="left"/>
      <protection locked="0"/>
    </xf>
    <xf numFmtId="164" fontId="38" fillId="0" borderId="0" xfId="0" applyFont="1" applyAlignment="1">
      <alignment/>
    </xf>
    <xf numFmtId="164" fontId="15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me Seri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Monthly Subscription plus Usage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6"/>
          <c:w val="0.7597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'Tariffs&amp;Usage'!$C$24</c:f>
              <c:strCache>
                <c:ptCount val="1"/>
                <c:pt idx="0">
                  <c:v>Standard Plan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'Tariffs&amp;Usage'!$B$25:$B$75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'Tariffs&amp;Usage'!$C$25:$C$75</c:f>
              <c:numCache>
                <c:ptCount val="51"/>
                <c:pt idx="0">
                  <c:v>10</c:v>
                </c:pt>
                <c:pt idx="1">
                  <c:v>12.078125</c:v>
                </c:pt>
                <c:pt idx="2">
                  <c:v>14.15625</c:v>
                </c:pt>
                <c:pt idx="3">
                  <c:v>16.234375</c:v>
                </c:pt>
                <c:pt idx="4">
                  <c:v>18.3125</c:v>
                </c:pt>
                <c:pt idx="5">
                  <c:v>20.390625</c:v>
                </c:pt>
                <c:pt idx="6">
                  <c:v>22.46875</c:v>
                </c:pt>
                <c:pt idx="7">
                  <c:v>24.546875</c:v>
                </c:pt>
                <c:pt idx="8">
                  <c:v>26.625</c:v>
                </c:pt>
                <c:pt idx="9">
                  <c:v>28.703125</c:v>
                </c:pt>
                <c:pt idx="10">
                  <c:v>30.78125</c:v>
                </c:pt>
                <c:pt idx="11">
                  <c:v>32.859375</c:v>
                </c:pt>
                <c:pt idx="12">
                  <c:v>34.9375</c:v>
                </c:pt>
                <c:pt idx="13">
                  <c:v>37.015625</c:v>
                </c:pt>
                <c:pt idx="14">
                  <c:v>39.09375</c:v>
                </c:pt>
                <c:pt idx="15">
                  <c:v>41.171875</c:v>
                </c:pt>
                <c:pt idx="16">
                  <c:v>43.25</c:v>
                </c:pt>
                <c:pt idx="17">
                  <c:v>45.328125</c:v>
                </c:pt>
                <c:pt idx="18">
                  <c:v>47.40625</c:v>
                </c:pt>
                <c:pt idx="19">
                  <c:v>49.484375</c:v>
                </c:pt>
                <c:pt idx="20">
                  <c:v>51.5625</c:v>
                </c:pt>
                <c:pt idx="21">
                  <c:v>53.640625</c:v>
                </c:pt>
                <c:pt idx="22">
                  <c:v>55.71875</c:v>
                </c:pt>
                <c:pt idx="23">
                  <c:v>57.796875</c:v>
                </c:pt>
                <c:pt idx="24">
                  <c:v>59.875</c:v>
                </c:pt>
                <c:pt idx="25">
                  <c:v>61.953125</c:v>
                </c:pt>
                <c:pt idx="26">
                  <c:v>64.03125</c:v>
                </c:pt>
                <c:pt idx="27">
                  <c:v>66.109375</c:v>
                </c:pt>
                <c:pt idx="28">
                  <c:v>68.1875</c:v>
                </c:pt>
                <c:pt idx="29">
                  <c:v>70.265625</c:v>
                </c:pt>
                <c:pt idx="30">
                  <c:v>72.34375</c:v>
                </c:pt>
                <c:pt idx="31">
                  <c:v>74.421875</c:v>
                </c:pt>
                <c:pt idx="32">
                  <c:v>76.5</c:v>
                </c:pt>
                <c:pt idx="33">
                  <c:v>78.578125</c:v>
                </c:pt>
                <c:pt idx="34">
                  <c:v>80.65625</c:v>
                </c:pt>
                <c:pt idx="35">
                  <c:v>82.734375</c:v>
                </c:pt>
                <c:pt idx="36">
                  <c:v>84.8125</c:v>
                </c:pt>
                <c:pt idx="37">
                  <c:v>86.890625</c:v>
                </c:pt>
                <c:pt idx="38">
                  <c:v>88.96875</c:v>
                </c:pt>
                <c:pt idx="39">
                  <c:v>91.046875</c:v>
                </c:pt>
                <c:pt idx="40">
                  <c:v>93.125</c:v>
                </c:pt>
                <c:pt idx="41">
                  <c:v>95.203125</c:v>
                </c:pt>
                <c:pt idx="42">
                  <c:v>97.28125</c:v>
                </c:pt>
                <c:pt idx="43">
                  <c:v>99.359375</c:v>
                </c:pt>
                <c:pt idx="44">
                  <c:v>101.4375</c:v>
                </c:pt>
                <c:pt idx="45">
                  <c:v>103.515625</c:v>
                </c:pt>
                <c:pt idx="46">
                  <c:v>105.59375</c:v>
                </c:pt>
                <c:pt idx="47">
                  <c:v>107.671875</c:v>
                </c:pt>
                <c:pt idx="48">
                  <c:v>109.75</c:v>
                </c:pt>
                <c:pt idx="49">
                  <c:v>111.828125</c:v>
                </c:pt>
                <c:pt idx="50">
                  <c:v>113.90625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Total MOU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63718"/>
        <c:crosses val="autoZero"/>
        <c:auto val="0"/>
        <c:lblOffset val="100"/>
        <c:noMultiLvlLbl val="0"/>
      </c:catAx>
      <c:valAx>
        <c:axId val="38563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Bill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8"/>
          <c:w val="0.491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Graphs!$A$5</c:f>
              <c:strCache>
                <c:ptCount val="1"/>
                <c:pt idx="0">
                  <c:v>    TOTAL REVENUES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Graphs!$B$3:$L$3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Graphs!$B$5:$L$5</c:f>
              <c:numCache>
                <c:ptCount val="11"/>
                <c:pt idx="0">
                  <c:v>0</c:v>
                </c:pt>
                <c:pt idx="1">
                  <c:v>164.90386692334081</c:v>
                </c:pt>
                <c:pt idx="2">
                  <c:v>173.1274940305927</c:v>
                </c:pt>
                <c:pt idx="3">
                  <c:v>175.64194217840532</c:v>
                </c:pt>
                <c:pt idx="4">
                  <c:v>173.3528332206523</c:v>
                </c:pt>
                <c:pt idx="5">
                  <c:v>171.23183442301502</c:v>
                </c:pt>
                <c:pt idx="6">
                  <c:v>169.05345782072382</c:v>
                </c:pt>
                <c:pt idx="7">
                  <c:v>167.03486293229406</c:v>
                </c:pt>
                <c:pt idx="8">
                  <c:v>172.68023317843472</c:v>
                </c:pt>
                <c:pt idx="9">
                  <c:v>183.1580251503311</c:v>
                </c:pt>
                <c:pt idx="10">
                  <c:v>194.57060217898047</c:v>
                </c:pt>
              </c:numCache>
            </c:numRef>
          </c:val>
        </c:ser>
        <c:ser>
          <c:idx val="3"/>
          <c:order val="1"/>
          <c:tx>
            <c:strRef>
              <c:f>Graphs!$A$6</c:f>
              <c:strCache>
                <c:ptCount val="1"/>
                <c:pt idx="0">
                  <c:v>   NET OPER. REVENUES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Graphs!$B$3:$L$3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Graphs!$B$6:$L$6</c:f>
              <c:numCache>
                <c:ptCount val="11"/>
                <c:pt idx="0">
                  <c:v>0</c:v>
                </c:pt>
                <c:pt idx="1">
                  <c:v>164.90386692334081</c:v>
                </c:pt>
                <c:pt idx="2">
                  <c:v>173.1274940305927</c:v>
                </c:pt>
                <c:pt idx="3">
                  <c:v>175.64194217840532</c:v>
                </c:pt>
                <c:pt idx="4">
                  <c:v>173.3528332206523</c:v>
                </c:pt>
                <c:pt idx="5">
                  <c:v>171.23183442301502</c:v>
                </c:pt>
                <c:pt idx="6">
                  <c:v>169.05345782072382</c:v>
                </c:pt>
                <c:pt idx="7">
                  <c:v>167.03486293229406</c:v>
                </c:pt>
                <c:pt idx="8">
                  <c:v>172.68023317843472</c:v>
                </c:pt>
                <c:pt idx="9">
                  <c:v>183.1580251503311</c:v>
                </c:pt>
                <c:pt idx="10">
                  <c:v>194.57060217898047</c:v>
                </c:pt>
              </c:numCache>
            </c:numRef>
          </c:val>
        </c:ser>
        <c:ser>
          <c:idx val="6"/>
          <c:order val="2"/>
          <c:tx>
            <c:strRef>
              <c:f>Graphs!$A$9</c:f>
              <c:strCache>
                <c:ptCount val="1"/>
                <c:pt idx="0">
                  <c:v>    TOTAL OPR. 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Graphs!$B$3:$L$3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Graphs!$B$9:$L$9</c:f>
              <c:numCache>
                <c:ptCount val="11"/>
                <c:pt idx="0">
                  <c:v>0.016248707669172933</c:v>
                </c:pt>
                <c:pt idx="1">
                  <c:v>23.151485038919322</c:v>
                </c:pt>
                <c:pt idx="2">
                  <c:v>32.9881867102828</c:v>
                </c:pt>
                <c:pt idx="3">
                  <c:v>42.97707110130142</c:v>
                </c:pt>
                <c:pt idx="4">
                  <c:v>48.800805662825454</c:v>
                </c:pt>
                <c:pt idx="5">
                  <c:v>54.15659747960198</c:v>
                </c:pt>
                <c:pt idx="6">
                  <c:v>60.429172274899166</c:v>
                </c:pt>
                <c:pt idx="7">
                  <c:v>66.99322236508291</c:v>
                </c:pt>
                <c:pt idx="8">
                  <c:v>75.22225799892925</c:v>
                </c:pt>
                <c:pt idx="9">
                  <c:v>92.95963147323556</c:v>
                </c:pt>
                <c:pt idx="10">
                  <c:v>113.58354467456245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U.S. $ mil.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5"/>
          <c:y val="0.2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104775</xdr:rowOff>
    </xdr:from>
    <xdr:to>
      <xdr:col>9</xdr:col>
      <xdr:colOff>295275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61150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47625</xdr:rowOff>
    </xdr:from>
    <xdr:to>
      <xdr:col>11</xdr:col>
      <xdr:colOff>571500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19075" y="1666875"/>
        <a:ext cx="7962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295275</xdr:colOff>
      <xdr:row>61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86"/>
  <sheetViews>
    <sheetView showGridLines="0" workbookViewId="0" topLeftCell="A19">
      <selection activeCell="H13" sqref="H13"/>
    </sheetView>
  </sheetViews>
  <sheetFormatPr defaultColWidth="7.625" defaultRowHeight="12.75"/>
  <cols>
    <col min="1" max="1" width="27.625" style="128" customWidth="1"/>
    <col min="2" max="2" width="10.50390625" style="128" customWidth="1"/>
    <col min="3" max="3" width="9.125" style="128" customWidth="1"/>
    <col min="4" max="4" width="8.875" style="128" customWidth="1"/>
    <col min="5" max="5" width="9.50390625" style="128" customWidth="1"/>
    <col min="6" max="6" width="9.625" style="128" customWidth="1"/>
    <col min="7" max="10" width="6.625" style="128" customWidth="1"/>
    <col min="11" max="11" width="6.625" style="7" customWidth="1"/>
    <col min="12" max="12" width="0.74609375" style="7" customWidth="1"/>
  </cols>
  <sheetData>
    <row r="1" spans="1:13" s="22" customFormat="1" ht="12">
      <c r="A1" s="110" t="s">
        <v>347</v>
      </c>
      <c r="B1" s="84"/>
      <c r="C1" s="84"/>
      <c r="D1" s="81"/>
      <c r="E1" s="75"/>
      <c r="F1" s="315" t="s">
        <v>438</v>
      </c>
      <c r="G1" s="75"/>
      <c r="H1" s="75"/>
      <c r="I1" s="75"/>
      <c r="J1" s="75"/>
      <c r="K1" s="20"/>
      <c r="L1" s="20"/>
      <c r="M1" s="21"/>
    </row>
    <row r="2" spans="1:13" s="22" customFormat="1" ht="12" hidden="1">
      <c r="A2" s="85"/>
      <c r="B2" s="76" t="s">
        <v>0</v>
      </c>
      <c r="C2" s="84" t="str">
        <f ca="1">CELL("filename")</f>
        <v>W:\courses\is290-1\f04\protected\[tel-fin.xls]TOC</v>
      </c>
      <c r="D2" s="81"/>
      <c r="E2" s="75"/>
      <c r="F2" s="111"/>
      <c r="G2" s="84" t="s">
        <v>1</v>
      </c>
      <c r="H2" s="112">
        <f>DATE(94,9,26)</f>
        <v>34603</v>
      </c>
      <c r="I2" s="112"/>
      <c r="J2" s="75"/>
      <c r="K2" s="20"/>
      <c r="L2" s="20"/>
      <c r="M2" s="21"/>
    </row>
    <row r="3" spans="1:13" s="22" customFormat="1" ht="6" customHeight="1" hidden="1">
      <c r="A3" s="75"/>
      <c r="B3" s="75"/>
      <c r="C3" s="75"/>
      <c r="D3" s="75"/>
      <c r="E3" s="75"/>
      <c r="F3" s="75"/>
      <c r="G3" s="75"/>
      <c r="H3" s="75"/>
      <c r="I3" s="75"/>
      <c r="J3" s="75"/>
      <c r="K3" s="20"/>
      <c r="L3" s="20"/>
      <c r="M3" s="21"/>
    </row>
    <row r="4" spans="1:13" s="22" customFormat="1" ht="12">
      <c r="A4" s="72" t="s">
        <v>2</v>
      </c>
      <c r="B4" s="73"/>
      <c r="C4" s="73"/>
      <c r="D4" s="113"/>
      <c r="E4" s="73"/>
      <c r="F4" s="73"/>
      <c r="G4" s="73"/>
      <c r="H4" s="73"/>
      <c r="I4" s="73"/>
      <c r="J4" s="73"/>
      <c r="K4" s="26"/>
      <c r="L4" s="26"/>
      <c r="M4" s="21"/>
    </row>
    <row r="5" spans="1:13" s="22" customFormat="1" ht="12">
      <c r="A5" s="75"/>
      <c r="B5" s="75"/>
      <c r="C5" s="84"/>
      <c r="D5" s="114"/>
      <c r="E5" s="75"/>
      <c r="F5" s="75"/>
      <c r="G5" s="75"/>
      <c r="H5" s="75"/>
      <c r="I5" s="75"/>
      <c r="J5" s="75"/>
      <c r="K5" s="20"/>
      <c r="L5" s="20"/>
      <c r="M5" s="21"/>
    </row>
    <row r="6" spans="1:13" s="22" customFormat="1" ht="12">
      <c r="A6" s="85" t="s">
        <v>3</v>
      </c>
      <c r="B6" s="75"/>
      <c r="C6" s="75"/>
      <c r="D6" s="75"/>
      <c r="E6" s="75"/>
      <c r="F6" s="257" t="s">
        <v>205</v>
      </c>
      <c r="G6" s="75"/>
      <c r="H6" s="75"/>
      <c r="I6" s="75"/>
      <c r="J6" s="75"/>
      <c r="K6" s="20"/>
      <c r="L6" s="20"/>
      <c r="M6" s="21"/>
    </row>
    <row r="7" spans="1:13" s="22" customFormat="1" ht="12">
      <c r="A7" s="83" t="s">
        <v>203</v>
      </c>
      <c r="B7" s="115">
        <v>1999</v>
      </c>
      <c r="C7" s="75" t="s">
        <v>204</v>
      </c>
      <c r="D7" s="75"/>
      <c r="E7" s="75"/>
      <c r="F7" s="75"/>
      <c r="G7" s="75"/>
      <c r="H7" s="75"/>
      <c r="I7" s="75"/>
      <c r="J7" s="75"/>
      <c r="K7" s="20"/>
      <c r="L7" s="20"/>
      <c r="M7" s="21"/>
    </row>
    <row r="8" spans="1:13" s="22" customFormat="1" ht="12">
      <c r="A8" s="75" t="s">
        <v>4</v>
      </c>
      <c r="B8" s="116">
        <v>0.08</v>
      </c>
      <c r="C8" s="75"/>
      <c r="D8" s="75"/>
      <c r="E8" s="75"/>
      <c r="F8" s="75"/>
      <c r="G8" s="75"/>
      <c r="H8" s="75"/>
      <c r="I8" s="75"/>
      <c r="J8" s="75"/>
      <c r="K8" s="20"/>
      <c r="L8" s="20"/>
      <c r="M8" s="21"/>
    </row>
    <row r="9" spans="1:13" s="22" customFormat="1" ht="12">
      <c r="A9" s="84" t="s">
        <v>257</v>
      </c>
      <c r="B9" s="116"/>
      <c r="C9" s="179" t="s">
        <v>258</v>
      </c>
      <c r="D9" s="75"/>
      <c r="E9" s="75"/>
      <c r="F9" s="75"/>
      <c r="G9" s="75"/>
      <c r="H9" s="75"/>
      <c r="I9" s="75"/>
      <c r="J9" s="75"/>
      <c r="K9" s="20"/>
      <c r="L9" s="20"/>
      <c r="M9" s="21"/>
    </row>
    <row r="10" spans="1:13" s="22" customFormat="1" ht="12">
      <c r="A10" s="262" t="s">
        <v>348</v>
      </c>
      <c r="B10" s="116">
        <v>0</v>
      </c>
      <c r="C10" s="84" t="s">
        <v>259</v>
      </c>
      <c r="D10" s="75"/>
      <c r="E10" s="75"/>
      <c r="F10" s="75"/>
      <c r="G10" s="75"/>
      <c r="H10" s="75"/>
      <c r="I10" s="75"/>
      <c r="J10" s="75"/>
      <c r="K10" s="20"/>
      <c r="L10" s="20"/>
      <c r="M10" s="21"/>
    </row>
    <row r="11" spans="1:13" s="22" customFormat="1" ht="12">
      <c r="A11" s="262" t="s">
        <v>349</v>
      </c>
      <c r="B11" s="116">
        <v>0</v>
      </c>
      <c r="C11" s="84" t="s">
        <v>259</v>
      </c>
      <c r="D11" s="75"/>
      <c r="E11" s="75"/>
      <c r="F11" s="75"/>
      <c r="G11" s="75"/>
      <c r="H11" s="75"/>
      <c r="I11" s="75"/>
      <c r="J11" s="75"/>
      <c r="K11" s="20"/>
      <c r="L11" s="20"/>
      <c r="M11" s="21"/>
    </row>
    <row r="12" spans="1:13" s="22" customFormat="1" ht="12">
      <c r="A12" s="83" t="s">
        <v>5</v>
      </c>
      <c r="B12" s="116">
        <v>0.04</v>
      </c>
      <c r="C12" s="75"/>
      <c r="D12" s="75"/>
      <c r="E12" s="75"/>
      <c r="F12" s="75"/>
      <c r="G12" s="75"/>
      <c r="H12" s="75"/>
      <c r="I12" s="75"/>
      <c r="J12" s="75"/>
      <c r="K12" s="20"/>
      <c r="L12" s="20"/>
      <c r="M12" s="21"/>
    </row>
    <row r="13" spans="1:13" s="22" customFormat="1" ht="12">
      <c r="A13" s="83" t="s">
        <v>6</v>
      </c>
      <c r="B13" s="116">
        <v>0.04</v>
      </c>
      <c r="C13" s="75"/>
      <c r="D13" s="75"/>
      <c r="E13" s="75"/>
      <c r="F13" s="75"/>
      <c r="G13" s="75"/>
      <c r="H13" s="75"/>
      <c r="I13" s="75"/>
      <c r="J13" s="75"/>
      <c r="K13" s="20"/>
      <c r="L13" s="20"/>
      <c r="M13" s="21"/>
    </row>
    <row r="14" spans="1:13" s="22" customFormat="1" ht="12">
      <c r="A14" s="75" t="s">
        <v>7</v>
      </c>
      <c r="B14" s="117">
        <f>1/7</f>
        <v>0.14285714285714285</v>
      </c>
      <c r="C14" s="118" t="s">
        <v>8</v>
      </c>
      <c r="D14" s="73"/>
      <c r="E14" s="75"/>
      <c r="F14" s="75"/>
      <c r="G14" s="75"/>
      <c r="H14" s="75"/>
      <c r="I14" s="75"/>
      <c r="J14" s="75"/>
      <c r="K14" s="20"/>
      <c r="L14" s="20"/>
      <c r="M14" s="21"/>
    </row>
    <row r="15" spans="1:13" s="22" customFormat="1" ht="12">
      <c r="A15" s="75" t="s">
        <v>9</v>
      </c>
      <c r="B15" s="93">
        <f>C15/360</f>
        <v>0.041666666666666664</v>
      </c>
      <c r="C15" s="115">
        <v>15</v>
      </c>
      <c r="D15" s="75" t="s">
        <v>10</v>
      </c>
      <c r="E15" s="75"/>
      <c r="F15" s="75"/>
      <c r="G15" s="75"/>
      <c r="H15" s="75"/>
      <c r="I15" s="75"/>
      <c r="J15" s="75"/>
      <c r="K15" s="20"/>
      <c r="L15" s="20"/>
      <c r="M15" s="21"/>
    </row>
    <row r="16" spans="1:13" s="22" customFormat="1" ht="12">
      <c r="A16" s="75" t="s">
        <v>11</v>
      </c>
      <c r="B16" s="93">
        <f>C16/360</f>
        <v>0.08333333333333333</v>
      </c>
      <c r="C16" s="115">
        <v>30</v>
      </c>
      <c r="D16" s="75" t="s">
        <v>10</v>
      </c>
      <c r="E16" s="75"/>
      <c r="F16" s="75"/>
      <c r="G16" s="75"/>
      <c r="H16" s="75"/>
      <c r="I16" s="75"/>
      <c r="J16" s="75"/>
      <c r="K16" s="20"/>
      <c r="L16" s="20"/>
      <c r="M16" s="21"/>
    </row>
    <row r="17" spans="1:13" s="22" customFormat="1" ht="12">
      <c r="A17" s="75" t="s">
        <v>12</v>
      </c>
      <c r="B17" s="116">
        <v>0.07</v>
      </c>
      <c r="C17" s="75"/>
      <c r="D17" s="75"/>
      <c r="E17" s="75"/>
      <c r="F17" s="75"/>
      <c r="G17" s="75"/>
      <c r="H17" s="75"/>
      <c r="I17" s="75"/>
      <c r="J17" s="75"/>
      <c r="K17" s="20"/>
      <c r="L17" s="20"/>
      <c r="M17" s="21"/>
    </row>
    <row r="18" spans="1:13" s="22" customFormat="1" ht="12">
      <c r="A18" s="84" t="s">
        <v>13</v>
      </c>
      <c r="B18" s="119">
        <v>0.01</v>
      </c>
      <c r="C18" s="82"/>
      <c r="D18" s="84"/>
      <c r="E18" s="75"/>
      <c r="F18" s="75"/>
      <c r="G18" s="75"/>
      <c r="H18" s="75"/>
      <c r="I18" s="75"/>
      <c r="J18" s="75"/>
      <c r="K18" s="20"/>
      <c r="L18" s="20"/>
      <c r="M18" s="21"/>
    </row>
    <row r="19" spans="1:13" s="22" customFormat="1" ht="12">
      <c r="A19" s="84" t="s">
        <v>14</v>
      </c>
      <c r="B19" s="119">
        <v>150</v>
      </c>
      <c r="C19" s="120" t="s">
        <v>15</v>
      </c>
      <c r="D19" s="71"/>
      <c r="E19" s="75"/>
      <c r="F19" s="75"/>
      <c r="G19" s="75"/>
      <c r="H19" s="75"/>
      <c r="I19" s="75"/>
      <c r="J19" s="75"/>
      <c r="K19" s="20"/>
      <c r="L19" s="20"/>
      <c r="M19" s="21"/>
    </row>
    <row r="20" spans="1:13" s="22" customFormat="1" ht="12">
      <c r="A20" s="84" t="s">
        <v>14</v>
      </c>
      <c r="B20" s="119">
        <v>200</v>
      </c>
      <c r="C20" s="120" t="s">
        <v>16</v>
      </c>
      <c r="D20" s="71"/>
      <c r="E20" s="75"/>
      <c r="F20" s="75"/>
      <c r="G20" s="75"/>
      <c r="H20" s="75"/>
      <c r="I20" s="75"/>
      <c r="J20" s="75"/>
      <c r="K20" s="20"/>
      <c r="L20" s="20"/>
      <c r="M20" s="21"/>
    </row>
    <row r="21" spans="1:13" s="22" customFormat="1" ht="12">
      <c r="A21" s="84" t="s">
        <v>17</v>
      </c>
      <c r="B21" s="121">
        <v>35</v>
      </c>
      <c r="C21" s="122">
        <v>45</v>
      </c>
      <c r="D21" s="71"/>
      <c r="E21" s="75"/>
      <c r="F21" s="75"/>
      <c r="G21" s="75"/>
      <c r="H21" s="75"/>
      <c r="I21" s="75"/>
      <c r="J21" s="75"/>
      <c r="K21" s="20"/>
      <c r="L21" s="20"/>
      <c r="M21" s="21"/>
    </row>
    <row r="22" spans="1:13" s="22" customFormat="1" ht="12">
      <c r="A22" s="84" t="s">
        <v>18</v>
      </c>
      <c r="B22" s="123">
        <v>0.0075</v>
      </c>
      <c r="C22" s="82"/>
      <c r="D22" s="84"/>
      <c r="E22" s="75"/>
      <c r="F22" s="75"/>
      <c r="G22" s="75"/>
      <c r="H22" s="75"/>
      <c r="I22" s="75"/>
      <c r="J22" s="75"/>
      <c r="K22" s="20"/>
      <c r="L22" s="20"/>
      <c r="M22" s="21"/>
    </row>
    <row r="23" spans="1:13" s="22" customFormat="1" ht="12">
      <c r="A23" s="84" t="s">
        <v>19</v>
      </c>
      <c r="B23" s="119">
        <v>7.2</v>
      </c>
      <c r="C23" s="124">
        <f>B23/12</f>
        <v>0.6</v>
      </c>
      <c r="D23" s="84" t="s">
        <v>20</v>
      </c>
      <c r="E23" s="75"/>
      <c r="F23" s="75"/>
      <c r="G23" s="75"/>
      <c r="H23" s="75"/>
      <c r="I23" s="75"/>
      <c r="J23" s="75"/>
      <c r="K23" s="20"/>
      <c r="L23" s="20"/>
      <c r="M23" s="21"/>
    </row>
    <row r="24" spans="1:13" s="22" customFormat="1" ht="12">
      <c r="A24" s="84" t="s">
        <v>21</v>
      </c>
      <c r="B24" s="123">
        <v>0.1</v>
      </c>
      <c r="C24" s="82"/>
      <c r="D24" s="84"/>
      <c r="E24" s="75"/>
      <c r="F24" s="75"/>
      <c r="G24" s="75"/>
      <c r="H24" s="75"/>
      <c r="I24" s="75"/>
      <c r="J24" s="75"/>
      <c r="K24" s="20"/>
      <c r="L24" s="20"/>
      <c r="M24" s="21"/>
    </row>
    <row r="25" spans="1:13" s="22" customFormat="1" ht="12">
      <c r="A25" s="84" t="s">
        <v>22</v>
      </c>
      <c r="B25" s="123">
        <v>0.03</v>
      </c>
      <c r="C25" s="82"/>
      <c r="D25" s="84"/>
      <c r="E25" s="75"/>
      <c r="F25" s="75"/>
      <c r="G25" s="75"/>
      <c r="H25" s="75"/>
      <c r="I25" s="75"/>
      <c r="J25" s="75"/>
      <c r="K25" s="20"/>
      <c r="L25" s="20"/>
      <c r="M25" s="21"/>
    </row>
    <row r="26" spans="1:13" s="22" customFormat="1" ht="12">
      <c r="A26" s="84" t="s">
        <v>23</v>
      </c>
      <c r="B26" s="123">
        <v>0.2</v>
      </c>
      <c r="C26" s="82"/>
      <c r="D26" s="84"/>
      <c r="E26" s="75"/>
      <c r="F26" s="75"/>
      <c r="G26" s="75"/>
      <c r="H26" s="75"/>
      <c r="I26" s="75"/>
      <c r="J26" s="75"/>
      <c r="K26" s="20"/>
      <c r="L26" s="20"/>
      <c r="M26" s="21"/>
    </row>
    <row r="27" spans="1:13" s="22" customFormat="1" ht="12">
      <c r="A27" s="84" t="s">
        <v>24</v>
      </c>
      <c r="B27" s="123">
        <v>0.05</v>
      </c>
      <c r="C27" s="82"/>
      <c r="D27" s="84"/>
      <c r="E27" s="75"/>
      <c r="F27" s="75"/>
      <c r="G27" s="75"/>
      <c r="H27" s="75"/>
      <c r="I27" s="75"/>
      <c r="J27" s="75"/>
      <c r="K27" s="20"/>
      <c r="L27" s="20"/>
      <c r="M27" s="21"/>
    </row>
    <row r="28" spans="1:13" s="22" customFormat="1" ht="12">
      <c r="A28" s="84"/>
      <c r="B28" s="124"/>
      <c r="C28" s="82"/>
      <c r="D28" s="84"/>
      <c r="E28" s="75"/>
      <c r="F28" s="75"/>
      <c r="G28" s="75"/>
      <c r="H28" s="75"/>
      <c r="I28" s="75"/>
      <c r="J28" s="75"/>
      <c r="K28" s="20"/>
      <c r="L28" s="20"/>
      <c r="M28" s="21"/>
    </row>
    <row r="29" spans="1:13" s="22" customFormat="1" ht="11.25" customHeight="1">
      <c r="A29" s="85" t="s">
        <v>25</v>
      </c>
      <c r="B29" s="125"/>
      <c r="C29" s="75"/>
      <c r="D29" s="84"/>
      <c r="E29" s="84"/>
      <c r="F29" s="84"/>
      <c r="G29" s="84"/>
      <c r="H29" s="75"/>
      <c r="I29" s="75"/>
      <c r="J29" s="75"/>
      <c r="K29" s="20"/>
      <c r="L29" s="20"/>
      <c r="M29" s="21"/>
    </row>
    <row r="30" spans="1:13" s="22" customFormat="1" ht="11.25" customHeight="1">
      <c r="A30" s="84" t="s">
        <v>26</v>
      </c>
      <c r="B30" s="121">
        <v>260</v>
      </c>
      <c r="C30" s="75"/>
      <c r="D30" s="84"/>
      <c r="E30" s="84"/>
      <c r="F30" s="84"/>
      <c r="G30" s="84"/>
      <c r="H30" s="75"/>
      <c r="I30" s="75"/>
      <c r="J30" s="75"/>
      <c r="K30" s="20"/>
      <c r="L30" s="20"/>
      <c r="M30" s="21"/>
    </row>
    <row r="31" spans="1:13" s="22" customFormat="1" ht="11.25" customHeight="1">
      <c r="A31" s="81" t="s">
        <v>27</v>
      </c>
      <c r="B31" s="121">
        <v>4</v>
      </c>
      <c r="C31" s="84"/>
      <c r="D31" s="84"/>
      <c r="E31" s="84"/>
      <c r="F31" s="84"/>
      <c r="G31" s="84"/>
      <c r="H31" s="75"/>
      <c r="I31" s="75"/>
      <c r="J31" s="75"/>
      <c r="K31" s="20"/>
      <c r="L31" s="20"/>
      <c r="M31" s="21"/>
    </row>
    <row r="32" spans="1:13" s="22" customFormat="1" ht="11.25" customHeight="1">
      <c r="A32" s="84" t="s">
        <v>350</v>
      </c>
      <c r="B32" s="31">
        <v>1500</v>
      </c>
      <c r="C32" s="75"/>
      <c r="D32" s="84"/>
      <c r="E32" s="84"/>
      <c r="F32" s="84"/>
      <c r="G32" s="84"/>
      <c r="H32" s="75"/>
      <c r="I32" s="75"/>
      <c r="J32" s="75"/>
      <c r="K32" s="20"/>
      <c r="L32" s="20"/>
      <c r="M32" s="21"/>
    </row>
    <row r="33" spans="1:13" s="22" customFormat="1" ht="12">
      <c r="A33" s="84" t="s">
        <v>28</v>
      </c>
      <c r="B33" s="308">
        <v>1600000</v>
      </c>
      <c r="C33" s="75"/>
      <c r="D33" s="84"/>
      <c r="E33" s="75"/>
      <c r="F33" s="75"/>
      <c r="G33" s="75"/>
      <c r="H33" s="75"/>
      <c r="I33" s="75"/>
      <c r="J33" s="75"/>
      <c r="K33" s="20"/>
      <c r="L33" s="20"/>
      <c r="M33" s="21"/>
    </row>
    <row r="34" spans="1:13" s="22" customFormat="1" ht="12">
      <c r="A34" s="81" t="s">
        <v>29</v>
      </c>
      <c r="B34" s="309">
        <v>1400000</v>
      </c>
      <c r="C34" s="126">
        <f>B34/B33</f>
        <v>0.875</v>
      </c>
      <c r="D34" s="84"/>
      <c r="E34" s="75"/>
      <c r="F34" s="75"/>
      <c r="G34" s="75"/>
      <c r="H34" s="75"/>
      <c r="I34" s="75"/>
      <c r="J34" s="75"/>
      <c r="K34" s="20"/>
      <c r="L34" s="20"/>
      <c r="M34" s="21"/>
    </row>
    <row r="35" spans="1:13" s="22" customFormat="1" ht="12">
      <c r="A35" s="84" t="s">
        <v>30</v>
      </c>
      <c r="B35" s="312">
        <f>Demand!B72*1000</f>
        <v>349259.3984962406</v>
      </c>
      <c r="C35" s="75" t="s">
        <v>399</v>
      </c>
      <c r="D35" s="84"/>
      <c r="E35" s="75"/>
      <c r="F35" s="75"/>
      <c r="G35" s="75"/>
      <c r="H35" s="75"/>
      <c r="I35" s="75"/>
      <c r="J35" s="75"/>
      <c r="K35" s="20"/>
      <c r="L35" s="20"/>
      <c r="M35" s="21"/>
    </row>
    <row r="36" spans="1:13" s="22" customFormat="1" ht="12">
      <c r="A36" s="84" t="s">
        <v>344</v>
      </c>
      <c r="B36" s="124">
        <f>B33/B35</f>
        <v>4.581122245783236</v>
      </c>
      <c r="C36" s="75"/>
      <c r="D36" s="84" t="s">
        <v>346</v>
      </c>
      <c r="E36" s="75"/>
      <c r="F36" s="75"/>
      <c r="G36" s="263">
        <f>1000*B36/(60*24)</f>
        <v>3.181334892905025</v>
      </c>
      <c r="H36" s="75"/>
      <c r="I36" s="75"/>
      <c r="J36" s="75"/>
      <c r="K36" s="20"/>
      <c r="L36" s="20"/>
      <c r="M36" s="21"/>
    </row>
    <row r="37" spans="1:13" s="22" customFormat="1" ht="11.25" customHeight="1">
      <c r="A37" s="81" t="s">
        <v>31</v>
      </c>
      <c r="B37" s="124">
        <f>B34/B35/B31</f>
        <v>1.002120491265083</v>
      </c>
      <c r="C37" s="75"/>
      <c r="D37" s="84" t="s">
        <v>345</v>
      </c>
      <c r="E37" s="75"/>
      <c r="F37" s="75"/>
      <c r="G37" s="263">
        <f>1000*B37/60</f>
        <v>16.70200818775138</v>
      </c>
      <c r="H37" s="75"/>
      <c r="I37" s="75"/>
      <c r="J37" s="75"/>
      <c r="K37" s="20"/>
      <c r="L37" s="20"/>
      <c r="M37" s="21"/>
    </row>
    <row r="38" spans="1:13" s="22" customFormat="1" ht="11.25" customHeight="1">
      <c r="A38" s="84" t="s">
        <v>32</v>
      </c>
      <c r="B38" s="124">
        <f>B36*30</f>
        <v>137.4336673734971</v>
      </c>
      <c r="C38" s="84"/>
      <c r="D38" s="84"/>
      <c r="E38" s="84"/>
      <c r="F38" s="84"/>
      <c r="G38" s="75"/>
      <c r="H38" s="75"/>
      <c r="I38" s="75"/>
      <c r="J38" s="75"/>
      <c r="K38" s="20"/>
      <c r="L38" s="20"/>
      <c r="M38" s="21"/>
    </row>
    <row r="39" spans="1:13" s="22" customFormat="1" ht="11.25" customHeight="1">
      <c r="A39" s="81" t="s">
        <v>33</v>
      </c>
      <c r="B39" s="127">
        <v>0.05</v>
      </c>
      <c r="C39" s="84"/>
      <c r="D39" s="84"/>
      <c r="E39" s="84"/>
      <c r="F39" s="84"/>
      <c r="G39" s="75"/>
      <c r="H39" s="75"/>
      <c r="I39" s="75"/>
      <c r="J39" s="75"/>
      <c r="K39" s="20"/>
      <c r="L39" s="20"/>
      <c r="M39" s="21"/>
    </row>
    <row r="40" spans="1:13" s="22" customFormat="1" ht="11.25" customHeight="1">
      <c r="A40" s="81" t="s">
        <v>351</v>
      </c>
      <c r="B40" s="173">
        <f>B32/B37</f>
        <v>1496.825993555317</v>
      </c>
      <c r="C40" s="84"/>
      <c r="D40" s="84" t="s">
        <v>434</v>
      </c>
      <c r="E40" s="84"/>
      <c r="F40" s="84"/>
      <c r="G40" s="263">
        <f>B32/60</f>
        <v>25</v>
      </c>
      <c r="H40" s="12"/>
      <c r="I40" s="12"/>
      <c r="J40" s="12"/>
      <c r="K40" s="15"/>
      <c r="L40" s="15"/>
      <c r="M40" s="21"/>
    </row>
    <row r="41" spans="1:13" s="1" customFormat="1" ht="12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7"/>
      <c r="L41" s="7"/>
      <c r="M41"/>
    </row>
    <row r="42" spans="1:13" s="1" customFormat="1" ht="12.7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7"/>
      <c r="L42" s="7"/>
      <c r="M42"/>
    </row>
    <row r="43" spans="1:13" s="1" customFormat="1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7"/>
      <c r="L43" s="7"/>
      <c r="M43"/>
    </row>
    <row r="44" spans="1:13" s="1" customFormat="1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7"/>
      <c r="L44" s="7"/>
      <c r="M44"/>
    </row>
    <row r="45" spans="1:13" s="1" customFormat="1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7"/>
      <c r="L45" s="7"/>
      <c r="M45"/>
    </row>
    <row r="46" spans="1:13" s="1" customFormat="1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7"/>
      <c r="L46" s="7"/>
      <c r="M46"/>
    </row>
    <row r="47" spans="1:13" s="1" customFormat="1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7"/>
      <c r="L47" s="7"/>
      <c r="M47"/>
    </row>
    <row r="48" spans="1:13" s="1" customFormat="1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7"/>
      <c r="L48" s="7"/>
      <c r="M48"/>
    </row>
    <row r="49" spans="1:13" s="1" customFormat="1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7"/>
      <c r="L49" s="7"/>
      <c r="M49"/>
    </row>
    <row r="50" spans="1:13" s="1" customFormat="1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7"/>
      <c r="L50" s="7"/>
      <c r="M50"/>
    </row>
    <row r="51" spans="1:13" s="1" customFormat="1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7"/>
      <c r="L51" s="7"/>
      <c r="M51"/>
    </row>
    <row r="52" spans="1:13" s="1" customFormat="1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7"/>
      <c r="L52" s="7"/>
      <c r="M52"/>
    </row>
    <row r="53" spans="1:13" s="1" customFormat="1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7"/>
      <c r="L53" s="7"/>
      <c r="M53"/>
    </row>
    <row r="54" spans="1:13" s="1" customFormat="1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7"/>
      <c r="L54" s="7"/>
      <c r="M54"/>
    </row>
    <row r="55" spans="1:13" s="1" customFormat="1" ht="12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7"/>
      <c r="L55" s="7"/>
      <c r="M55"/>
    </row>
    <row r="56" spans="1:13" s="1" customFormat="1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7"/>
      <c r="L56" s="7"/>
      <c r="M56"/>
    </row>
    <row r="57" spans="1:13" s="1" customFormat="1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7"/>
      <c r="L57" s="7"/>
      <c r="M57"/>
    </row>
    <row r="58" spans="1:13" s="1" customFormat="1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7"/>
      <c r="L58" s="7"/>
      <c r="M58"/>
    </row>
    <row r="59" spans="1:13" s="1" customFormat="1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7"/>
      <c r="L59" s="7"/>
      <c r="M59"/>
    </row>
    <row r="60" spans="1:13" s="1" customFormat="1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7"/>
      <c r="L60" s="7"/>
      <c r="M60"/>
    </row>
    <row r="61" spans="1:13" s="1" customFormat="1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7"/>
      <c r="L61" s="7"/>
      <c r="M61"/>
    </row>
    <row r="62" spans="1:13" s="1" customFormat="1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7"/>
      <c r="L62" s="7"/>
      <c r="M62"/>
    </row>
    <row r="63" spans="1:13" s="1" customFormat="1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7"/>
      <c r="L63" s="7"/>
      <c r="M63"/>
    </row>
    <row r="64" spans="1:13" s="1" customFormat="1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7"/>
      <c r="L64" s="7"/>
      <c r="M64"/>
    </row>
    <row r="65" spans="1:13" s="1" customFormat="1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7"/>
      <c r="L65" s="7"/>
      <c r="M65"/>
    </row>
    <row r="66" spans="1:13" s="1" customFormat="1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7"/>
      <c r="L66" s="7"/>
      <c r="M66"/>
    </row>
    <row r="67" spans="1:13" s="1" customFormat="1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7"/>
      <c r="L67" s="7"/>
      <c r="M67"/>
    </row>
    <row r="68" spans="1:14" s="11" customFormat="1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7"/>
      <c r="L68" s="7"/>
      <c r="M68"/>
      <c r="N68" s="1"/>
    </row>
    <row r="69" spans="1:13" s="11" customFormat="1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7"/>
      <c r="L69" s="7"/>
      <c r="M69"/>
    </row>
    <row r="70" spans="1:14" s="1" customFormat="1" ht="12.7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7"/>
      <c r="L70" s="7"/>
      <c r="M70"/>
      <c r="N70" s="11"/>
    </row>
    <row r="71" spans="1:13" s="1" customFormat="1" ht="12.7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7"/>
      <c r="L71" s="7"/>
      <c r="M71"/>
    </row>
    <row r="72" spans="1:13" s="1" customFormat="1" ht="12.7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7"/>
      <c r="L72" s="7"/>
      <c r="M72"/>
    </row>
    <row r="73" spans="1:13" s="1" customFormat="1" ht="12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7"/>
      <c r="L73" s="7"/>
      <c r="M73"/>
    </row>
    <row r="74" spans="1:13" s="1" customFormat="1" ht="12.7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7"/>
      <c r="L74" s="7"/>
      <c r="M74"/>
    </row>
    <row r="75" spans="1:13" s="1" customFormat="1" ht="12.7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7"/>
      <c r="L75" s="7"/>
      <c r="M75"/>
    </row>
    <row r="76" spans="1:13" s="1" customFormat="1" ht="12.7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7"/>
      <c r="L76" s="7"/>
      <c r="M76"/>
    </row>
    <row r="77" spans="1:13" s="1" customFormat="1" ht="12.7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7"/>
      <c r="L77" s="7"/>
      <c r="M77"/>
    </row>
    <row r="78" spans="1:13" s="1" customFormat="1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7"/>
      <c r="L78" s="7"/>
      <c r="M78"/>
    </row>
    <row r="79" spans="1:13" s="1" customFormat="1" ht="12.7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7"/>
      <c r="L79" s="7"/>
      <c r="M79"/>
    </row>
    <row r="80" spans="1:13" s="1" customFormat="1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7"/>
      <c r="L80" s="7"/>
      <c r="M80"/>
    </row>
    <row r="81" spans="1:13" s="1" customFormat="1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7"/>
      <c r="L81" s="7"/>
      <c r="M81"/>
    </row>
    <row r="82" spans="1:13" s="1" customFormat="1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7"/>
      <c r="L82" s="7"/>
      <c r="M82"/>
    </row>
    <row r="83" spans="1:13" s="1" customFormat="1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7"/>
      <c r="L83" s="7"/>
      <c r="M83"/>
    </row>
    <row r="84" spans="1:13" s="1" customFormat="1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7"/>
      <c r="L84" s="7"/>
      <c r="M84"/>
    </row>
    <row r="85" spans="1:13" s="1" customFormat="1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7"/>
      <c r="L85" s="7"/>
      <c r="M85"/>
    </row>
    <row r="86" spans="1:13" s="1" customFormat="1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7"/>
      <c r="L86" s="7"/>
      <c r="M86"/>
    </row>
    <row r="87" spans="1:13" s="1" customFormat="1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7"/>
      <c r="L87" s="7"/>
      <c r="M87"/>
    </row>
    <row r="88" spans="1:13" s="1" customFormat="1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7"/>
      <c r="L88" s="7"/>
      <c r="M88"/>
    </row>
    <row r="89" spans="1:13" s="1" customFormat="1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7"/>
      <c r="L89" s="7"/>
      <c r="M89"/>
    </row>
    <row r="90" spans="1:13" s="1" customFormat="1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7"/>
      <c r="L90" s="7"/>
      <c r="M90"/>
    </row>
    <row r="91" spans="1:13" s="1" customFormat="1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7"/>
      <c r="L91" s="7"/>
      <c r="M91"/>
    </row>
    <row r="92" spans="1:13" s="1" customFormat="1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7"/>
      <c r="L92" s="7"/>
      <c r="M92"/>
    </row>
    <row r="93" spans="1:13" s="1" customFormat="1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7"/>
      <c r="L93" s="7"/>
      <c r="M93"/>
    </row>
    <row r="94" spans="1:13" s="1" customFormat="1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7"/>
      <c r="L94" s="7"/>
      <c r="M94"/>
    </row>
    <row r="95" spans="1:13" s="1" customFormat="1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7"/>
      <c r="L95" s="7"/>
      <c r="M95"/>
    </row>
    <row r="96" spans="1:13" s="1" customFormat="1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7"/>
      <c r="L96" s="7"/>
      <c r="M96"/>
    </row>
    <row r="97" spans="1:13" s="1" customFormat="1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7"/>
      <c r="L97" s="7"/>
      <c r="M97"/>
    </row>
    <row r="98" spans="1:13" s="1" customFormat="1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7"/>
      <c r="L98" s="7"/>
      <c r="M98"/>
    </row>
    <row r="99" spans="1:14" s="11" customFormat="1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7"/>
      <c r="L99" s="7"/>
      <c r="M99"/>
      <c r="N99" s="1"/>
    </row>
    <row r="100" spans="1:14" s="11" customFormat="1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7"/>
      <c r="L100" s="7"/>
      <c r="M100"/>
      <c r="N100" s="1"/>
    </row>
    <row r="101" spans="1:13" s="1" customFormat="1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7"/>
      <c r="L101" s="7"/>
      <c r="M101"/>
    </row>
    <row r="102" spans="1:14" s="1" customFormat="1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7"/>
      <c r="L102" s="7"/>
      <c r="M102"/>
      <c r="N102" s="11"/>
    </row>
    <row r="103" spans="1:13" s="1" customFormat="1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7"/>
      <c r="L103" s="7"/>
      <c r="M103"/>
    </row>
    <row r="104" spans="1:13" s="1" customFormat="1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7"/>
      <c r="L104" s="7"/>
      <c r="M104"/>
    </row>
    <row r="105" spans="1:13" s="1" customFormat="1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7"/>
      <c r="L105" s="7"/>
      <c r="M105"/>
    </row>
    <row r="106" spans="1:13" s="1" customFormat="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7"/>
      <c r="L106" s="7"/>
      <c r="M106"/>
    </row>
    <row r="107" spans="1:13" s="1" customFormat="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7"/>
      <c r="L107" s="7"/>
      <c r="M107"/>
    </row>
    <row r="108" spans="1:13" s="1" customFormat="1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7"/>
      <c r="L108" s="7"/>
      <c r="M108"/>
    </row>
    <row r="109" spans="1:13" s="1" customFormat="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7"/>
      <c r="L109" s="7"/>
      <c r="M109"/>
    </row>
    <row r="110" spans="1:13" s="1" customFormat="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7"/>
      <c r="L110" s="7"/>
      <c r="M110"/>
    </row>
    <row r="111" spans="1:13" s="1" customFormat="1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7"/>
      <c r="L111" s="7"/>
      <c r="M111"/>
    </row>
    <row r="112" spans="1:13" s="1" customFormat="1" ht="12.7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7"/>
      <c r="L112" s="7"/>
      <c r="M112"/>
    </row>
    <row r="113" spans="1:13" s="1" customFormat="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7"/>
      <c r="L113" s="7"/>
      <c r="M113"/>
    </row>
    <row r="114" spans="1:13" s="1" customFormat="1" ht="12.7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7"/>
      <c r="L114" s="7"/>
      <c r="M114"/>
    </row>
    <row r="115" spans="1:13" s="1" customFormat="1" ht="12.7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7"/>
      <c r="L115" s="7"/>
      <c r="M115"/>
    </row>
    <row r="116" spans="1:13" s="1" customFormat="1" ht="12.7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7"/>
      <c r="L116" s="7"/>
      <c r="M116"/>
    </row>
    <row r="117" spans="1:13" s="1" customFormat="1" ht="12.7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7"/>
      <c r="L117" s="7"/>
      <c r="M117"/>
    </row>
    <row r="118" spans="1:13" s="1" customFormat="1" ht="12.7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7"/>
      <c r="L118" s="7"/>
      <c r="M118"/>
    </row>
    <row r="119" spans="1:13" s="1" customFormat="1" ht="12.7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7"/>
      <c r="L119" s="7"/>
      <c r="M119"/>
    </row>
    <row r="120" spans="1:13" s="1" customFormat="1" ht="12.7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7"/>
      <c r="L120" s="7"/>
      <c r="M120"/>
    </row>
    <row r="121" spans="1:13" s="1" customFormat="1" ht="12.7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7"/>
      <c r="L121" s="7"/>
      <c r="M121"/>
    </row>
    <row r="122" spans="1:13" s="1" customFormat="1" ht="12.7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7"/>
      <c r="L122" s="7"/>
      <c r="M122"/>
    </row>
    <row r="123" spans="1:13" s="1" customFormat="1" ht="12.7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7"/>
      <c r="L123" s="7"/>
      <c r="M123"/>
    </row>
    <row r="124" spans="1:13" s="1" customFormat="1" ht="12.7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7"/>
      <c r="L124" s="7"/>
      <c r="M124"/>
    </row>
    <row r="125" spans="1:13" s="1" customFormat="1" ht="12.7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7"/>
      <c r="L125" s="7"/>
      <c r="M125"/>
    </row>
    <row r="126" spans="1:13" s="1" customFormat="1" ht="12.7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7"/>
      <c r="L126" s="7"/>
      <c r="M126"/>
    </row>
    <row r="127" spans="1:13" s="1" customFormat="1" ht="12.7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7"/>
      <c r="L127" s="7"/>
      <c r="M127"/>
    </row>
    <row r="128" spans="1:13" s="1" customFormat="1" ht="12.7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7"/>
      <c r="L128" s="7"/>
      <c r="M128"/>
    </row>
    <row r="129" spans="1:13" s="1" customFormat="1" ht="12.7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7"/>
      <c r="L129" s="7"/>
      <c r="M129"/>
    </row>
    <row r="130" spans="1:13" s="1" customFormat="1" ht="12.7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7"/>
      <c r="L130" s="7"/>
      <c r="M130"/>
    </row>
    <row r="131" spans="1:13" s="1" customFormat="1" ht="12.7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7"/>
      <c r="L131" s="7"/>
      <c r="M131"/>
    </row>
    <row r="132" spans="1:14" s="11" customFormat="1" ht="12.7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7"/>
      <c r="L132" s="7"/>
      <c r="M132"/>
      <c r="N132" s="1"/>
    </row>
    <row r="133" spans="1:13" s="1" customFormat="1" ht="12.7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7"/>
      <c r="L133" s="7"/>
      <c r="M133"/>
    </row>
    <row r="134" spans="1:13" s="1" customFormat="1" ht="12.7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7"/>
      <c r="L134" s="7"/>
      <c r="M134"/>
    </row>
    <row r="135" spans="1:13" s="1" customFormat="1" ht="12.7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7"/>
      <c r="L135" s="7"/>
      <c r="M135"/>
    </row>
    <row r="136" spans="1:13" s="1" customFormat="1" ht="12.7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7"/>
      <c r="L136" s="7"/>
      <c r="M136"/>
    </row>
    <row r="137" spans="1:13" s="1" customFormat="1" ht="12.7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7"/>
      <c r="L137" s="7"/>
      <c r="M137"/>
    </row>
    <row r="138" spans="1:13" s="1" customFormat="1" ht="12.7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7"/>
      <c r="L138" s="7"/>
      <c r="M138"/>
    </row>
    <row r="139" spans="1:13" s="1" customFormat="1" ht="12.7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7"/>
      <c r="L139" s="7"/>
      <c r="M139"/>
    </row>
    <row r="140" spans="1:13" s="1" customFormat="1" ht="12.7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7"/>
      <c r="L140" s="7"/>
      <c r="M140"/>
    </row>
    <row r="141" spans="1:13" s="1" customFormat="1" ht="12.7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7"/>
      <c r="L141" s="7"/>
      <c r="M141"/>
    </row>
    <row r="142" spans="1:13" s="1" customFormat="1" ht="12.7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7"/>
      <c r="L142" s="7"/>
      <c r="M142"/>
    </row>
    <row r="143" spans="1:13" s="1" customFormat="1" ht="12.7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7"/>
      <c r="L143" s="7"/>
      <c r="M143"/>
    </row>
    <row r="144" spans="1:13" s="1" customFormat="1" ht="12.7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7"/>
      <c r="L144" s="7"/>
      <c r="M144"/>
    </row>
    <row r="145" spans="1:13" s="1" customFormat="1" ht="12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7"/>
      <c r="L145" s="7"/>
      <c r="M145"/>
    </row>
    <row r="146" spans="1:13" s="1" customFormat="1" ht="12.7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7"/>
      <c r="L146" s="7"/>
      <c r="M146"/>
    </row>
    <row r="147" spans="1:14" s="1" customFormat="1" ht="12.7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7"/>
      <c r="L147" s="7"/>
      <c r="M147"/>
      <c r="N147" s="11"/>
    </row>
    <row r="148" spans="1:13" s="1" customFormat="1" ht="12.7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7"/>
      <c r="L148" s="7"/>
      <c r="M148"/>
    </row>
    <row r="149" spans="1:13" s="1" customFormat="1" ht="12.7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7"/>
      <c r="L149" s="7"/>
      <c r="M149"/>
    </row>
    <row r="150" spans="1:13" s="1" customFormat="1" ht="12.7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7"/>
      <c r="L150" s="7"/>
      <c r="M150"/>
    </row>
    <row r="151" spans="1:13" s="1" customFormat="1" ht="12.7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7"/>
      <c r="L151" s="7"/>
      <c r="M151"/>
    </row>
    <row r="152" spans="1:13" s="1" customFormat="1" ht="12.7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7"/>
      <c r="L152" s="7"/>
      <c r="M152"/>
    </row>
    <row r="153" spans="1:13" s="1" customFormat="1" ht="12.7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7"/>
      <c r="L153" s="7"/>
      <c r="M153"/>
    </row>
    <row r="154" spans="1:13" s="1" customFormat="1" ht="12.7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7"/>
      <c r="L154" s="7"/>
      <c r="M154"/>
    </row>
    <row r="155" spans="1:13" s="1" customFormat="1" ht="12.7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7"/>
      <c r="L155" s="7"/>
      <c r="M155"/>
    </row>
    <row r="156" spans="1:13" s="1" customFormat="1" ht="12.7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7"/>
      <c r="L156" s="7"/>
      <c r="M156"/>
    </row>
    <row r="157" spans="1:14" s="1" customFormat="1" ht="12.7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7"/>
      <c r="L157" s="7"/>
      <c r="M157"/>
      <c r="N157"/>
    </row>
    <row r="158" spans="1:14" s="1" customFormat="1" ht="12.7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7"/>
      <c r="L158" s="7"/>
      <c r="M158"/>
      <c r="N158"/>
    </row>
    <row r="159" spans="1:14" s="1" customFormat="1" ht="12.7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7"/>
      <c r="L159" s="7"/>
      <c r="M159"/>
      <c r="N159"/>
    </row>
    <row r="160" spans="1:14" s="1" customFormat="1" ht="12.7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7"/>
      <c r="L160" s="7"/>
      <c r="M160"/>
      <c r="N160"/>
    </row>
    <row r="161" spans="1:14" s="1" customFormat="1" ht="12.7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7"/>
      <c r="L161" s="7"/>
      <c r="M161"/>
      <c r="N161"/>
    </row>
    <row r="162" spans="1:14" s="1" customFormat="1" ht="12.7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7"/>
      <c r="L162" s="7"/>
      <c r="M162"/>
      <c r="N162"/>
    </row>
    <row r="163" spans="1:14" s="1" customFormat="1" ht="12.7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7"/>
      <c r="L163" s="7"/>
      <c r="M163"/>
      <c r="N163"/>
    </row>
    <row r="164" spans="1:14" s="1" customFormat="1" ht="12.7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7"/>
      <c r="L164" s="7"/>
      <c r="M164"/>
      <c r="N164"/>
    </row>
    <row r="165" spans="1:14" s="1" customFormat="1" ht="12.7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7"/>
      <c r="L165" s="7"/>
      <c r="M165"/>
      <c r="N165"/>
    </row>
    <row r="166" spans="1:14" s="1" customFormat="1" ht="12.7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7"/>
      <c r="L166" s="7"/>
      <c r="M166"/>
      <c r="N166"/>
    </row>
    <row r="167" spans="1:14" s="1" customFormat="1" ht="12.7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7"/>
      <c r="L167" s="7"/>
      <c r="M167"/>
      <c r="N167"/>
    </row>
    <row r="168" spans="1:14" s="1" customFormat="1" ht="12.7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7"/>
      <c r="L168" s="7"/>
      <c r="M168"/>
      <c r="N168"/>
    </row>
    <row r="169" spans="1:14" s="1" customFormat="1" ht="12.7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7"/>
      <c r="L169" s="7"/>
      <c r="M169"/>
      <c r="N169"/>
    </row>
    <row r="170" spans="1:14" s="1" customFormat="1" ht="12.7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7"/>
      <c r="L170" s="7"/>
      <c r="M170"/>
      <c r="N170"/>
    </row>
    <row r="171" spans="1:14" s="1" customFormat="1" ht="12.7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7"/>
      <c r="L171" s="7"/>
      <c r="M171"/>
      <c r="N171"/>
    </row>
    <row r="172" spans="1:14" s="1" customFormat="1" ht="12.7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7"/>
      <c r="L172" s="7"/>
      <c r="M172"/>
      <c r="N172"/>
    </row>
    <row r="173" spans="1:14" s="1" customFormat="1" ht="12.7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7"/>
      <c r="L173" s="7"/>
      <c r="M173"/>
      <c r="N173"/>
    </row>
    <row r="174" spans="1:14" s="1" customFormat="1" ht="12.7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7"/>
      <c r="L174" s="7"/>
      <c r="M174"/>
      <c r="N174"/>
    </row>
    <row r="175" spans="1:14" s="1" customFormat="1" ht="12.7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7"/>
      <c r="L175" s="7"/>
      <c r="M175"/>
      <c r="N175"/>
    </row>
    <row r="176" spans="1:14" s="1" customFormat="1" ht="12.7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7"/>
      <c r="L176" s="7"/>
      <c r="M176"/>
      <c r="N176"/>
    </row>
    <row r="177" spans="1:14" s="11" customFormat="1" ht="12.7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7"/>
      <c r="L177" s="7"/>
      <c r="M177"/>
      <c r="N177"/>
    </row>
    <row r="178" spans="1:14" s="1" customFormat="1" ht="12.7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7"/>
      <c r="L178" s="7"/>
      <c r="M178"/>
      <c r="N178"/>
    </row>
    <row r="179" spans="1:14" s="1" customFormat="1" ht="12.7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7"/>
      <c r="L179" s="7"/>
      <c r="M179"/>
      <c r="N179"/>
    </row>
    <row r="180" spans="1:14" s="1" customFormat="1" ht="12.7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7"/>
      <c r="L180" s="7"/>
      <c r="M180"/>
      <c r="N180"/>
    </row>
    <row r="181" spans="1:14" s="1" customFormat="1" ht="12.7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7"/>
      <c r="L181" s="7"/>
      <c r="M181"/>
      <c r="N181"/>
    </row>
    <row r="182" spans="1:14" s="1" customFormat="1" ht="12.7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7"/>
      <c r="L182" s="7"/>
      <c r="M182"/>
      <c r="N182"/>
    </row>
    <row r="183" spans="1:14" s="1" customFormat="1" ht="12.7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7"/>
      <c r="L183" s="7"/>
      <c r="M183"/>
      <c r="N183"/>
    </row>
    <row r="184" spans="1:14" s="1" customFormat="1" ht="12.7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7"/>
      <c r="L184" s="7"/>
      <c r="M184"/>
      <c r="N184"/>
    </row>
    <row r="185" spans="1:14" s="1" customFormat="1" ht="12.7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7"/>
      <c r="L185" s="7"/>
      <c r="M185"/>
      <c r="N185"/>
    </row>
    <row r="186" spans="1:14" s="1" customFormat="1" ht="12.7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7"/>
      <c r="L186" s="7"/>
      <c r="M186"/>
      <c r="N186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  <rowBreaks count="5" manualBreakCount="5">
    <brk id="28" max="255" man="1"/>
    <brk id="172" max="65535" man="1"/>
    <brk id="203" max="65535" man="1"/>
    <brk id="227" max="65535" man="1"/>
    <brk id="49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M48"/>
  <sheetViews>
    <sheetView workbookViewId="0" topLeftCell="A24">
      <selection activeCell="A30" sqref="A30:IV30"/>
    </sheetView>
  </sheetViews>
  <sheetFormatPr defaultColWidth="9.00390625" defaultRowHeight="12.75"/>
  <cols>
    <col min="1" max="1" width="23.375" style="0" customWidth="1"/>
    <col min="2" max="12" width="8.125" style="0" customWidth="1"/>
  </cols>
  <sheetData>
    <row r="1" ht="12.75">
      <c r="A1" s="141" t="s">
        <v>315</v>
      </c>
    </row>
    <row r="2" spans="1:13" s="30" customFormat="1" ht="12.75">
      <c r="A2" s="25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1"/>
    </row>
    <row r="3" spans="1:13" s="30" customFormat="1" ht="6" customHeight="1">
      <c r="A3" s="25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1"/>
    </row>
    <row r="4" spans="1:13" s="30" customFormat="1" ht="12.75">
      <c r="A4" s="24" t="s">
        <v>35</v>
      </c>
      <c r="B4" s="32">
        <v>0</v>
      </c>
      <c r="C4" s="32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>
        <v>10</v>
      </c>
      <c r="M4" s="21"/>
    </row>
    <row r="5" spans="1:13" s="30" customFormat="1" ht="12.75">
      <c r="A5" s="34"/>
      <c r="B5" s="32">
        <f>C5-1</f>
        <v>1998</v>
      </c>
      <c r="C5" s="32">
        <f>Assumptions!B7</f>
        <v>1999</v>
      </c>
      <c r="D5" s="32">
        <f>C5+1</f>
        <v>2000</v>
      </c>
      <c r="E5" s="32">
        <f aca="true" t="shared" si="0" ref="E5:L5">D5+1</f>
        <v>2001</v>
      </c>
      <c r="F5" s="32">
        <f t="shared" si="0"/>
        <v>2002</v>
      </c>
      <c r="G5" s="32">
        <f t="shared" si="0"/>
        <v>2003</v>
      </c>
      <c r="H5" s="32">
        <f t="shared" si="0"/>
        <v>2004</v>
      </c>
      <c r="I5" s="32">
        <f t="shared" si="0"/>
        <v>2005</v>
      </c>
      <c r="J5" s="32">
        <f t="shared" si="0"/>
        <v>2006</v>
      </c>
      <c r="K5" s="32">
        <f t="shared" si="0"/>
        <v>2007</v>
      </c>
      <c r="L5" s="32">
        <f t="shared" si="0"/>
        <v>2008</v>
      </c>
      <c r="M5" s="58"/>
    </row>
    <row r="6" spans="1:13" s="30" customFormat="1" ht="12.75">
      <c r="A6" s="35" t="s">
        <v>155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1"/>
    </row>
    <row r="7" spans="1:13" s="30" customFormat="1" ht="12.75">
      <c r="A7" s="20" t="s">
        <v>156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1"/>
    </row>
    <row r="8" spans="1:13" s="30" customFormat="1" ht="12.75">
      <c r="A8" s="19" t="s">
        <v>157</v>
      </c>
      <c r="B8" s="28">
        <f>'P&amp;L'!B68</f>
        <v>-4.187677279097744</v>
      </c>
      <c r="C8" s="28">
        <f>'P&amp;L'!C68</f>
        <v>86.06484685175676</v>
      </c>
      <c r="D8" s="28">
        <f>'P&amp;L'!D68</f>
        <v>79.1504586187259</v>
      </c>
      <c r="E8" s="28">
        <f>'P&amp;L'!E68</f>
        <v>71.18467981309762</v>
      </c>
      <c r="F8" s="28">
        <f>'P&amp;L'!F68</f>
        <v>65.23255636493252</v>
      </c>
      <c r="G8" s="28">
        <f>'P&amp;L'!G68</f>
        <v>59.66970243676759</v>
      </c>
      <c r="H8" s="28">
        <f>'P&amp;L'!H68</f>
        <v>52.840896876787426</v>
      </c>
      <c r="I8" s="28">
        <f>'P&amp;L'!I68</f>
        <v>47.743894616810664</v>
      </c>
      <c r="J8" s="28">
        <f>'P&amp;L'!J68</f>
        <v>45.861325598832934</v>
      </c>
      <c r="K8" s="28">
        <f>'P&amp;L'!K68</f>
        <v>35.492089716840425</v>
      </c>
      <c r="L8" s="28">
        <f>'P&amp;L'!L68</f>
        <v>19.930246996652116</v>
      </c>
      <c r="M8" s="21"/>
    </row>
    <row r="9" spans="1:13" s="30" customFormat="1" ht="12.75">
      <c r="A9" s="19" t="s">
        <v>158</v>
      </c>
      <c r="B9" s="28">
        <f>'P&amp;L'!B39</f>
        <v>3.571428571428571</v>
      </c>
      <c r="C9" s="28">
        <f>'P&amp;L'!C39</f>
        <v>11.306785714285713</v>
      </c>
      <c r="D9" s="28">
        <f>'P&amp;L'!D39</f>
        <v>20.01567857142857</v>
      </c>
      <c r="E9" s="28">
        <f>'P&amp;L'!E39</f>
        <v>27.317246428571426</v>
      </c>
      <c r="F9" s="28">
        <f>'P&amp;L'!F39</f>
        <v>32.60611392857143</v>
      </c>
      <c r="G9" s="28">
        <f>'P&amp;L'!G39</f>
        <v>38.09529675</v>
      </c>
      <c r="H9" s="28">
        <f>'P&amp;L'!H39</f>
        <v>44.13339785357143</v>
      </c>
      <c r="I9" s="28">
        <f>'P&amp;L'!I39</f>
        <v>47.20388049607142</v>
      </c>
      <c r="J9" s="28">
        <f>'P&amp;L'!J39</f>
        <v>50.71748283139286</v>
      </c>
      <c r="K9" s="28">
        <f>'P&amp;L'!K39</f>
        <v>58.66815968596072</v>
      </c>
      <c r="L9" s="28">
        <f>'P&amp;L'!L39</f>
        <v>71.27033279741393</v>
      </c>
      <c r="M9" s="21"/>
    </row>
    <row r="10" spans="1:13" s="30" customFormat="1" ht="12.75">
      <c r="A10" s="20" t="s">
        <v>159</v>
      </c>
      <c r="B10" s="28">
        <f aca="true" t="shared" si="1" ref="B10:L10">B8+B9</f>
        <v>-0.6162487076691727</v>
      </c>
      <c r="C10" s="28">
        <f t="shared" si="1"/>
        <v>97.37163256604246</v>
      </c>
      <c r="D10" s="28">
        <f t="shared" si="1"/>
        <v>99.16613719015447</v>
      </c>
      <c r="E10" s="28">
        <f t="shared" si="1"/>
        <v>98.50192624166904</v>
      </c>
      <c r="F10" s="28">
        <f t="shared" si="1"/>
        <v>97.83867029350395</v>
      </c>
      <c r="G10" s="28">
        <f t="shared" si="1"/>
        <v>97.7649991867676</v>
      </c>
      <c r="H10" s="28">
        <f t="shared" si="1"/>
        <v>96.97429473035885</v>
      </c>
      <c r="I10" s="28">
        <f t="shared" si="1"/>
        <v>94.94777511288208</v>
      </c>
      <c r="J10" s="28">
        <f t="shared" si="1"/>
        <v>96.57880843022579</v>
      </c>
      <c r="K10" s="28">
        <f t="shared" si="1"/>
        <v>94.16024940280114</v>
      </c>
      <c r="L10" s="28">
        <f t="shared" si="1"/>
        <v>91.20057979406604</v>
      </c>
      <c r="M10" s="21"/>
    </row>
    <row r="11" spans="1:13" s="30" customFormat="1" ht="6" customHeight="1">
      <c r="A11" s="2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1"/>
    </row>
    <row r="12" spans="1:13" s="30" customFormat="1" ht="12.75">
      <c r="A12" s="20" t="s">
        <v>160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1"/>
    </row>
    <row r="13" spans="1:13" s="30" customFormat="1" ht="12.75">
      <c r="A13" s="19" t="s">
        <v>161</v>
      </c>
      <c r="B13" s="28">
        <f>((BalSheet!B9-BalSheet!A9)&lt;0)*ABS(BalSheet!B9-BalSheet!A9)</f>
        <v>0</v>
      </c>
      <c r="C13" s="28">
        <f>((BalSheet!C9-BalSheet!B9)&lt;0)*ABS(BalSheet!C9-BalSheet!B9)</f>
        <v>0</v>
      </c>
      <c r="D13" s="28">
        <f>((BalSheet!D9-BalSheet!C9)&lt;0)*ABS(BalSheet!D9-BalSheet!C9)</f>
        <v>0</v>
      </c>
      <c r="E13" s="28">
        <f>((BalSheet!E9-BalSheet!D9)&lt;0)*ABS(BalSheet!E9-BalSheet!D9)</f>
        <v>0</v>
      </c>
      <c r="F13" s="28">
        <f>((BalSheet!F9-BalSheet!E9)&lt;0)*ABS(BalSheet!F9-BalSheet!E9)</f>
        <v>0.09537953990637593</v>
      </c>
      <c r="G13" s="28">
        <f>((BalSheet!G9-BalSheet!F9)&lt;0)*ABS(BalSheet!G9-BalSheet!F9)</f>
        <v>0.08837494990155292</v>
      </c>
      <c r="H13" s="28">
        <f>((BalSheet!H9-BalSheet!G9)&lt;0)*ABS(BalSheet!H9-BalSheet!G9)</f>
        <v>0.09076569176213312</v>
      </c>
      <c r="I13" s="28">
        <f>((BalSheet!I9-BalSheet!H9)&lt;0)*ABS(BalSheet!I9-BalSheet!H9)</f>
        <v>0.08410812035123971</v>
      </c>
      <c r="J13" s="28">
        <f>((BalSheet!J9-BalSheet!I9)&lt;0)*ABS(BalSheet!J9-BalSheet!I9)</f>
        <v>0</v>
      </c>
      <c r="K13" s="28">
        <f>((BalSheet!K9-BalSheet!J9)&lt;0)*ABS(BalSheet!K9-BalSheet!J9)</f>
        <v>0</v>
      </c>
      <c r="L13" s="28">
        <f>((BalSheet!L9-BalSheet!K9)&lt;0)*ABS(BalSheet!L9-BalSheet!K9)</f>
        <v>0</v>
      </c>
      <c r="M13" s="21"/>
    </row>
    <row r="14" spans="1:13" s="30" customFormat="1" ht="12.75">
      <c r="A14" s="19" t="s">
        <v>133</v>
      </c>
      <c r="B14" s="28">
        <f>((BalSheet!B10-BalSheet!A10)&lt;0)*ABS(BalSheet!B10-BalSheet!A10)</f>
        <v>0</v>
      </c>
      <c r="C14" s="28">
        <f>((BalSheet!C10-BalSheet!B10)&lt;0)*ABS(BalSheet!C10-BalSheet!B10)</f>
        <v>0</v>
      </c>
      <c r="D14" s="28">
        <f>((BalSheet!D10-BalSheet!C10)&lt;0)*ABS(BalSheet!D10-BalSheet!C10)</f>
        <v>0</v>
      </c>
      <c r="E14" s="28">
        <f>((BalSheet!E10-BalSheet!D10)&lt;0)*ABS(BalSheet!E10-BalSheet!D10)</f>
        <v>0</v>
      </c>
      <c r="F14" s="28">
        <f>((BalSheet!F10-BalSheet!E10)&lt;0)*ABS(BalSheet!F10-BalSheet!E10)</f>
        <v>0</v>
      </c>
      <c r="G14" s="28">
        <f>((BalSheet!G10-BalSheet!F10)&lt;0)*ABS(BalSheet!G10-BalSheet!F10)</f>
        <v>0</v>
      </c>
      <c r="H14" s="28">
        <f>((BalSheet!H10-BalSheet!G10)&lt;0)*ABS(BalSheet!H10-BalSheet!G10)</f>
        <v>0</v>
      </c>
      <c r="I14" s="28">
        <f>((BalSheet!I10-BalSheet!H10)&lt;0)*ABS(BalSheet!I10-BalSheet!H10)</f>
        <v>0</v>
      </c>
      <c r="J14" s="28">
        <f>((BalSheet!J10-BalSheet!I10)&lt;0)*ABS(BalSheet!J10-BalSheet!I10)</f>
        <v>0</v>
      </c>
      <c r="K14" s="28">
        <f>((BalSheet!K10-BalSheet!J10)&lt;0)*ABS(BalSheet!K10-BalSheet!J10)</f>
        <v>0</v>
      </c>
      <c r="L14" s="28">
        <f>((BalSheet!L10-BalSheet!K10)&lt;0)*ABS(BalSheet!L10-BalSheet!K10)</f>
        <v>0</v>
      </c>
      <c r="M14" s="21"/>
    </row>
    <row r="15" spans="1:13" s="30" customFormat="1" ht="12.75">
      <c r="A15" s="19" t="s">
        <v>162</v>
      </c>
      <c r="B15" s="28">
        <f>((BalSheet!B14-BalSheet!A14)&lt;0)*ABS(BalSheet!B14-BalSheet!A14)</f>
        <v>0</v>
      </c>
      <c r="C15" s="28">
        <f>((BalSheet!C14-BalSheet!B14)&lt;0)*ABS(BalSheet!C14-BalSheet!B14)</f>
        <v>0</v>
      </c>
      <c r="D15" s="28">
        <f>((BalSheet!D14-BalSheet!C14)&lt;0)*ABS(BalSheet!D14-BalSheet!C14)</f>
        <v>0</v>
      </c>
      <c r="E15" s="28">
        <f>((BalSheet!E14-BalSheet!D14)&lt;0)*ABS(BalSheet!E14-BalSheet!D14)</f>
        <v>0</v>
      </c>
      <c r="F15" s="28">
        <f>((BalSheet!F14-BalSheet!E14)&lt;0)*ABS(BalSheet!F14-BalSheet!E14)</f>
        <v>0</v>
      </c>
      <c r="G15" s="28">
        <f>((BalSheet!G14-BalSheet!F14)&lt;0)*ABS(BalSheet!G14-BalSheet!F14)</f>
        <v>0</v>
      </c>
      <c r="H15" s="28">
        <f>((BalSheet!H14-BalSheet!G14)&lt;0)*ABS(BalSheet!H14-BalSheet!G14)</f>
        <v>0</v>
      </c>
      <c r="I15" s="28">
        <f>((BalSheet!I14-BalSheet!H14)&lt;0)*ABS(BalSheet!I14-BalSheet!H14)</f>
        <v>0</v>
      </c>
      <c r="J15" s="28">
        <f>((BalSheet!J14-BalSheet!I14)&lt;0)*ABS(BalSheet!J14-BalSheet!I14)</f>
        <v>0</v>
      </c>
      <c r="K15" s="28">
        <f>((BalSheet!K14-BalSheet!J14)&lt;0)*ABS(BalSheet!K14-BalSheet!J14)</f>
        <v>0</v>
      </c>
      <c r="L15" s="28">
        <f>((BalSheet!L14-BalSheet!K14)&lt;0)*ABS(BalSheet!L14-BalSheet!K14)</f>
        <v>0</v>
      </c>
      <c r="M15" s="21"/>
    </row>
    <row r="16" spans="1:13" s="30" customFormat="1" ht="12.75">
      <c r="A16" s="20" t="s">
        <v>163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1"/>
    </row>
    <row r="17" spans="1:13" s="30" customFormat="1" ht="12.75">
      <c r="A17" s="19" t="s">
        <v>164</v>
      </c>
      <c r="B17" s="28">
        <f>((BalSheet!B23-BalSheet!A23)&gt;0)*ABS(BalSheet!B23-BalSheet!A23)</f>
        <v>0.0013540589724310777</v>
      </c>
      <c r="C17" s="28">
        <f>((BalSheet!C23-BalSheet!B23)&gt;0)*ABS(BalSheet!C23-BalSheet!B23)</f>
        <v>1.9279363609375124</v>
      </c>
      <c r="D17" s="28">
        <f>((BalSheet!D23-BalSheet!C23)&gt;0)*ABS(BalSheet!D23-BalSheet!C23)</f>
        <v>0.8197251392802893</v>
      </c>
      <c r="E17" s="28">
        <f>((BalSheet!E23-BalSheet!D23)&gt;0)*ABS(BalSheet!E23-BalSheet!D23)</f>
        <v>0.8324070325848854</v>
      </c>
      <c r="F17" s="28">
        <f>((BalSheet!F23-BalSheet!E23)&gt;0)*ABS(BalSheet!F23-BalSheet!E23)</f>
        <v>0.48531121346033634</v>
      </c>
      <c r="G17" s="28">
        <f>((BalSheet!G23-BalSheet!F23)&gt;0)*ABS(BalSheet!G23-BalSheet!F23)</f>
        <v>0.4463159847313767</v>
      </c>
      <c r="H17" s="28">
        <f>((BalSheet!H23-BalSheet!G23)&gt;0)*ABS(BalSheet!H23-BalSheet!G23)</f>
        <v>0.5227145662747654</v>
      </c>
      <c r="I17" s="28">
        <f>((BalSheet!I23-BalSheet!H23)&gt;0)*ABS(BalSheet!I23-BalSheet!H23)</f>
        <v>0.5470041741819793</v>
      </c>
      <c r="J17" s="28">
        <f>((BalSheet!J23-BalSheet!I23)&gt;0)*ABS(BalSheet!J23-BalSheet!I23)</f>
        <v>0.6857529694871944</v>
      </c>
      <c r="K17" s="28">
        <f>((BalSheet!K23-BalSheet!J23)&gt;0)*ABS(BalSheet!K23-BalSheet!J23)</f>
        <v>1.478114456192193</v>
      </c>
      <c r="L17" s="28">
        <f>((BalSheet!L23-BalSheet!K23)&gt;0)*ABS(BalSheet!L23-BalSheet!K23)</f>
        <v>1.7186594334439071</v>
      </c>
      <c r="M17" s="21"/>
    </row>
    <row r="18" spans="1:13" s="30" customFormat="1" ht="12.75">
      <c r="A18" s="19" t="s">
        <v>165</v>
      </c>
      <c r="B18" s="28">
        <f>((BalSheet!B24-BalSheet!A24)&gt;0)*ABS(BalSheet!B24-BalSheet!A24)</f>
        <v>0</v>
      </c>
      <c r="C18" s="28">
        <f>((BalSheet!C24-BalSheet!B24)&gt;0)*ABS(BalSheet!C24-BalSheet!B24)</f>
        <v>0</v>
      </c>
      <c r="D18" s="28">
        <f>((BalSheet!D24-BalSheet!C24)&gt;0)*ABS(BalSheet!D24-BalSheet!C24)</f>
        <v>0</v>
      </c>
      <c r="E18" s="28">
        <f>((BalSheet!E24-BalSheet!D24)&gt;0)*ABS(BalSheet!E24-BalSheet!D24)</f>
        <v>0</v>
      </c>
      <c r="F18" s="28">
        <f>((BalSheet!F24-BalSheet!E24)&gt;0)*ABS(BalSheet!F24-BalSheet!E24)</f>
        <v>0</v>
      </c>
      <c r="G18" s="28">
        <f>((BalSheet!G24-BalSheet!F24)&gt;0)*ABS(BalSheet!G24-BalSheet!F24)</f>
        <v>0</v>
      </c>
      <c r="H18" s="28">
        <f>((BalSheet!H24-BalSheet!G24)&gt;0)*ABS(BalSheet!H24-BalSheet!G24)</f>
        <v>0</v>
      </c>
      <c r="I18" s="28">
        <f>((BalSheet!I24-BalSheet!H24)&gt;0)*ABS(BalSheet!I24-BalSheet!H24)</f>
        <v>0</v>
      </c>
      <c r="J18" s="28">
        <f>((BalSheet!J24-BalSheet!I24)&gt;0)*ABS(BalSheet!J24-BalSheet!I24)</f>
        <v>0</v>
      </c>
      <c r="K18" s="28">
        <f>((BalSheet!K24-BalSheet!J24)&gt;0)*ABS(BalSheet!K24-BalSheet!J24)</f>
        <v>0</v>
      </c>
      <c r="L18" s="28">
        <f>((BalSheet!L24-BalSheet!K24)&gt;0)*ABS(BalSheet!L24-BalSheet!K24)</f>
        <v>0</v>
      </c>
      <c r="M18" s="21"/>
    </row>
    <row r="19" spans="1:13" s="30" customFormat="1" ht="12.75">
      <c r="A19" s="19" t="s">
        <v>166</v>
      </c>
      <c r="B19" s="28">
        <f>((BalSheet!B27-BalSheet!A27)&gt;0)*ABS(BalSheet!B27-BalSheet!A27)</f>
        <v>15</v>
      </c>
      <c r="C19" s="28">
        <f>((BalSheet!C27-BalSheet!B27)&gt;0)*ABS(BalSheet!C27-BalSheet!B27)</f>
        <v>0</v>
      </c>
      <c r="D19" s="28">
        <f>((BalSheet!D27-BalSheet!C27)&gt;0)*ABS(BalSheet!D27-BalSheet!C27)</f>
        <v>0</v>
      </c>
      <c r="E19" s="28">
        <f>((BalSheet!E27-BalSheet!D27)&gt;0)*ABS(BalSheet!E27-BalSheet!D27)</f>
        <v>0</v>
      </c>
      <c r="F19" s="28">
        <f>((BalSheet!F27-BalSheet!E27)&gt;0)*ABS(BalSheet!F27-BalSheet!E27)</f>
        <v>0</v>
      </c>
      <c r="G19" s="28">
        <f>((BalSheet!G27-BalSheet!F27)&gt;0)*ABS(BalSheet!G27-BalSheet!F27)</f>
        <v>0</v>
      </c>
      <c r="H19" s="28">
        <f>((BalSheet!H27-BalSheet!G27)&gt;0)*ABS(BalSheet!H27-BalSheet!G27)</f>
        <v>0</v>
      </c>
      <c r="I19" s="28">
        <f>((BalSheet!I27-BalSheet!H27)&gt;0)*ABS(BalSheet!I27-BalSheet!H27)</f>
        <v>0</v>
      </c>
      <c r="J19" s="28">
        <f>((BalSheet!J27-BalSheet!I27)&gt;0)*ABS(BalSheet!J27-BalSheet!I27)</f>
        <v>0</v>
      </c>
      <c r="K19" s="28">
        <f>((BalSheet!K27-BalSheet!J27)&gt;0)*ABS(BalSheet!K27-BalSheet!J27)</f>
        <v>0</v>
      </c>
      <c r="L19" s="28">
        <f>((BalSheet!L27-BalSheet!K27)&gt;0)*ABS(BalSheet!L27-BalSheet!K27)</f>
        <v>0</v>
      </c>
      <c r="M19" s="21"/>
    </row>
    <row r="20" spans="1:13" s="30" customFormat="1" ht="12.75">
      <c r="A20" s="19" t="s">
        <v>167</v>
      </c>
      <c r="B20" s="28">
        <f>((BalSheet!B31-BalSheet!A31)&gt;0)*ABS(BalSheet!B31-BalSheet!A31)</f>
        <v>40</v>
      </c>
      <c r="C20" s="28">
        <f>((BalSheet!C31-BalSheet!B31)&gt;0)*ABS(BalSheet!C31-BalSheet!B31)</f>
        <v>0</v>
      </c>
      <c r="D20" s="28">
        <f>((BalSheet!D31-BalSheet!C31)&gt;0)*ABS(BalSheet!D31-BalSheet!C31)</f>
        <v>0</v>
      </c>
      <c r="E20" s="28">
        <f>((BalSheet!E31-BalSheet!D31)&gt;0)*ABS(BalSheet!E31-BalSheet!D31)</f>
        <v>0</v>
      </c>
      <c r="F20" s="28">
        <f>((BalSheet!F31-BalSheet!E31)&gt;0)*ABS(BalSheet!F31-BalSheet!E31)</f>
        <v>0</v>
      </c>
      <c r="G20" s="28">
        <f>((BalSheet!G31-BalSheet!F31)&gt;0)*ABS(BalSheet!G31-BalSheet!F31)</f>
        <v>0</v>
      </c>
      <c r="H20" s="28">
        <f>((BalSheet!H31-BalSheet!G31)&gt;0)*ABS(BalSheet!H31-BalSheet!G31)</f>
        <v>0</v>
      </c>
      <c r="I20" s="28">
        <f>((BalSheet!I31-BalSheet!H31)&gt;0)*ABS(BalSheet!I31-BalSheet!H31)</f>
        <v>0</v>
      </c>
      <c r="J20" s="28">
        <f>((BalSheet!J31-BalSheet!I31)&gt;0)*ABS(BalSheet!J31-BalSheet!I31)</f>
        <v>0</v>
      </c>
      <c r="K20" s="28">
        <f>((BalSheet!K31-BalSheet!J31)&gt;0)*ABS(BalSheet!K31-BalSheet!J31)</f>
        <v>0</v>
      </c>
      <c r="L20" s="28">
        <f>((BalSheet!L31-BalSheet!K31)&gt;0)*ABS(BalSheet!L31-BalSheet!K31)</f>
        <v>0</v>
      </c>
      <c r="M20" s="21"/>
    </row>
    <row r="21" spans="1:13" s="30" customFormat="1" ht="6" customHeight="1">
      <c r="A21" s="2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1"/>
    </row>
    <row r="22" spans="1:13" s="30" customFormat="1" ht="12.75">
      <c r="A22" s="40" t="s">
        <v>168</v>
      </c>
      <c r="B22" s="186">
        <f aca="true" t="shared" si="2" ref="B22:L22">SUM(B10:B20)</f>
        <v>54.38510535130326</v>
      </c>
      <c r="C22" s="186">
        <f t="shared" si="2"/>
        <v>99.29956892697997</v>
      </c>
      <c r="D22" s="186">
        <f t="shared" si="2"/>
        <v>99.98586232943477</v>
      </c>
      <c r="E22" s="186">
        <f t="shared" si="2"/>
        <v>99.33433327425392</v>
      </c>
      <c r="F22" s="186">
        <f t="shared" si="2"/>
        <v>98.41936104687066</v>
      </c>
      <c r="G22" s="186">
        <f t="shared" si="2"/>
        <v>98.29969012140052</v>
      </c>
      <c r="H22" s="186">
        <f t="shared" si="2"/>
        <v>97.58777498839575</v>
      </c>
      <c r="I22" s="186">
        <f t="shared" si="2"/>
        <v>95.57888740741531</v>
      </c>
      <c r="J22" s="186">
        <f t="shared" si="2"/>
        <v>97.26456139971299</v>
      </c>
      <c r="K22" s="186">
        <f t="shared" si="2"/>
        <v>95.63836385899333</v>
      </c>
      <c r="L22" s="186">
        <f t="shared" si="2"/>
        <v>92.91923922750995</v>
      </c>
      <c r="M22" s="21"/>
    </row>
    <row r="23" spans="1:13" s="30" customFormat="1" ht="7.5" customHeight="1">
      <c r="A23" s="20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1"/>
    </row>
    <row r="24" spans="1:13" s="30" customFormat="1" ht="12.75">
      <c r="A24" s="35" t="s">
        <v>169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1"/>
    </row>
    <row r="25" spans="1:13" s="30" customFormat="1" ht="12.75">
      <c r="A25" s="20" t="s">
        <v>163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1"/>
    </row>
    <row r="26" spans="1:13" s="30" customFormat="1" ht="12.75">
      <c r="A26" s="19" t="s">
        <v>161</v>
      </c>
      <c r="B26" s="28">
        <f>((BalSheet!B9)&gt;0)*ABS(BalSheet!B9)</f>
        <v>0</v>
      </c>
      <c r="C26" s="28">
        <f>((BalSheet!C9-BalSheet!B9)&gt;0)*ABS(BalSheet!C9-BalSheet!B9)</f>
        <v>6.870994455139201</v>
      </c>
      <c r="D26" s="28">
        <f>((BalSheet!D9-BalSheet!C9)&gt;0)*ABS(BalSheet!D9-BalSheet!C9)</f>
        <v>0.3426511294688277</v>
      </c>
      <c r="E26" s="28">
        <f>((BalSheet!E9-BalSheet!D9)&gt;0)*ABS(BalSheet!E9-BalSheet!D9)</f>
        <v>0.10476867282552593</v>
      </c>
      <c r="F26" s="28">
        <f>((BalSheet!F9-BalSheet!E9)&gt;0)*ABS(BalSheet!F9-BalSheet!E9)</f>
        <v>0</v>
      </c>
      <c r="G26" s="28">
        <f>((BalSheet!G9-BalSheet!F9)&gt;0)*ABS(BalSheet!G9-BalSheet!F9)</f>
        <v>0</v>
      </c>
      <c r="H26" s="28">
        <f>((BalSheet!H9-BalSheet!G9)&gt;0)*ABS(BalSheet!H9-BalSheet!G9)</f>
        <v>0</v>
      </c>
      <c r="I26" s="28">
        <f>((BalSheet!I9-BalSheet!H9)&gt;0)*ABS(BalSheet!I9-BalSheet!H9)</f>
        <v>0</v>
      </c>
      <c r="J26" s="28">
        <f>((BalSheet!J9-BalSheet!I9)&gt;0)*ABS(BalSheet!J9-BalSheet!I9)</f>
        <v>0.23522376025586045</v>
      </c>
      <c r="K26" s="28">
        <f>((BalSheet!K9-BalSheet!J9)&gt;0)*ABS(BalSheet!K9-BalSheet!J9)</f>
        <v>0.4365746654956828</v>
      </c>
      <c r="L26" s="28">
        <f>((BalSheet!L9-BalSheet!K9)&gt;0)*ABS(BalSheet!L9-BalSheet!K9)</f>
        <v>0.4755240428603891</v>
      </c>
      <c r="M26" s="21"/>
    </row>
    <row r="27" spans="1:13" s="30" customFormat="1" ht="12.75">
      <c r="A27" s="19" t="s">
        <v>133</v>
      </c>
      <c r="B27" s="28">
        <f>((BalSheet!B10)&gt;0)*ABS(BalSheet!B10)</f>
        <v>0</v>
      </c>
      <c r="C27" s="28">
        <f>((BalSheet!C10-BalSheet!B10)&gt;0)*ABS(BalSheet!C10-BalSheet!B10)</f>
        <v>0</v>
      </c>
      <c r="D27" s="28">
        <f>((BalSheet!D10-BalSheet!C10)&gt;0)*ABS(BalSheet!D10-BalSheet!C10)</f>
        <v>0</v>
      </c>
      <c r="E27" s="28">
        <f>((BalSheet!E10-BalSheet!D10)&gt;0)*ABS(BalSheet!E10-BalSheet!D10)</f>
        <v>0</v>
      </c>
      <c r="F27" s="28">
        <f>((BalSheet!F10-BalSheet!E10)&gt;0)*ABS(BalSheet!F10-BalSheet!E10)</f>
        <v>0</v>
      </c>
      <c r="G27" s="28">
        <f>((BalSheet!G10-BalSheet!F10)&gt;0)*ABS(BalSheet!G10-BalSheet!F10)</f>
        <v>0</v>
      </c>
      <c r="H27" s="28">
        <f>((BalSheet!H10-BalSheet!G10)&gt;0)*ABS(BalSheet!H10-BalSheet!G10)</f>
        <v>0</v>
      </c>
      <c r="I27" s="28">
        <f>((BalSheet!I10-BalSheet!H10)&gt;0)*ABS(BalSheet!I10-BalSheet!H10)</f>
        <v>0</v>
      </c>
      <c r="J27" s="28">
        <f>((BalSheet!J10-BalSheet!I10)&gt;0)*ABS(BalSheet!J10-BalSheet!I10)</f>
        <v>0</v>
      </c>
      <c r="K27" s="28">
        <f>((BalSheet!K10-BalSheet!J10)&gt;0)*ABS(BalSheet!K10-BalSheet!J10)</f>
        <v>0</v>
      </c>
      <c r="L27" s="28">
        <f>((BalSheet!L10-BalSheet!K10)&gt;0)*ABS(BalSheet!L10-BalSheet!K10)</f>
        <v>0</v>
      </c>
      <c r="M27" s="21"/>
    </row>
    <row r="28" spans="1:13" s="30" customFormat="1" ht="12.75">
      <c r="A28" s="19" t="s">
        <v>162</v>
      </c>
      <c r="B28" s="28">
        <f>((BalSheet!B14)&gt;0)*ABS(BalSheet!B14)</f>
        <v>50</v>
      </c>
      <c r="C28" s="28">
        <f>((BalSheet!C14-BalSheet!B14)&gt;0)*ABS(BalSheet!C14-BalSheet!B14)</f>
        <v>58.295</v>
      </c>
      <c r="D28" s="28">
        <f>((BalSheet!D14-BalSheet!C14)&gt;0)*ABS(BalSheet!D14-BalSheet!C14)</f>
        <v>63.62949999999999</v>
      </c>
      <c r="E28" s="28">
        <f>((BalSheet!E14-BalSheet!D14)&gt;0)*ABS(BalSheet!E14-BalSheet!D14)</f>
        <v>38.592450000000014</v>
      </c>
      <c r="F28" s="28">
        <f>((BalSheet!F14-BalSheet!E14)&gt;0)*ABS(BalSheet!F14-BalSheet!E14)</f>
        <v>35.451695</v>
      </c>
      <c r="G28" s="28">
        <f>((BalSheet!G14-BalSheet!F14)&gt;0)*ABS(BalSheet!G14-BalSheet!F14)</f>
        <v>41.39686450000002</v>
      </c>
      <c r="H28" s="28">
        <f>((BalSheet!H14-BalSheet!G14)&gt;0)*ABS(BalSheet!H14-BalSheet!G14)</f>
        <v>43.136550950000014</v>
      </c>
      <c r="I28" s="28">
        <f>((BalSheet!I14-BalSheet!H14)&gt;0)*ABS(BalSheet!I14-BalSheet!H14)</f>
        <v>49.85020604499999</v>
      </c>
      <c r="J28" s="28">
        <f>((BalSheet!J14-BalSheet!I14)&gt;0)*ABS(BalSheet!J14-BalSheet!I14)</f>
        <v>107.6352266495</v>
      </c>
      <c r="K28" s="28">
        <f>((BalSheet!K14-BalSheet!J14)&gt;0)*ABS(BalSheet!K14-BalSheet!J14)</f>
        <v>125.59874931444995</v>
      </c>
      <c r="L28" s="28">
        <f>((BalSheet!L14-BalSheet!K14)&gt;0)*ABS(BalSheet!L14-BalSheet!K14)</f>
        <v>153.05362424589498</v>
      </c>
      <c r="M28" s="21"/>
    </row>
    <row r="29" spans="1:13" s="30" customFormat="1" ht="12.75">
      <c r="A29" s="20" t="s">
        <v>160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1"/>
    </row>
    <row r="30" spans="1:13" s="30" customFormat="1" ht="12.75">
      <c r="A30" s="19" t="s">
        <v>164</v>
      </c>
      <c r="B30" s="28">
        <f>((BalSheet!B$23)&lt;0)*ABS(BalSheet!B$23)</f>
        <v>0</v>
      </c>
      <c r="C30" s="28">
        <f>((BalSheet!C$23-BalSheet!B$23)&lt;0)*ABS(BalSheet!C$23-BalSheet!B$23)</f>
        <v>0</v>
      </c>
      <c r="D30" s="28">
        <f>((BalSheet!D$23-BalSheet!C$23)&lt;0)*ABS(BalSheet!D$23-BalSheet!C$23)</f>
        <v>0</v>
      </c>
      <c r="E30" s="28">
        <f>((BalSheet!E$23-BalSheet!D$23)&lt;0)*ABS(BalSheet!E$23-BalSheet!D$23)</f>
        <v>0</v>
      </c>
      <c r="F30" s="28">
        <f>((BalSheet!F$23-BalSheet!E$23)&lt;0)*ABS(BalSheet!F$23-BalSheet!E$23)</f>
        <v>0</v>
      </c>
      <c r="G30" s="28">
        <f>((BalSheet!G$23-BalSheet!F$23)&lt;0)*ABS(BalSheet!G$23-BalSheet!F$23)</f>
        <v>0</v>
      </c>
      <c r="H30" s="28">
        <f>((BalSheet!H$23-BalSheet!G$23)&lt;0)*ABS(BalSheet!H$23-BalSheet!G$23)</f>
        <v>0</v>
      </c>
      <c r="I30" s="28">
        <f>((BalSheet!I$23-BalSheet!H$23)&lt;0)*ABS(BalSheet!I$23-BalSheet!H$23)</f>
        <v>0</v>
      </c>
      <c r="J30" s="28">
        <f>((BalSheet!J$23-BalSheet!I$23)&lt;0)*ABS(BalSheet!J$23-BalSheet!I$23)</f>
        <v>0</v>
      </c>
      <c r="K30" s="28">
        <f>((BalSheet!K$23-BalSheet!J$23)&lt;0)*ABS(BalSheet!K$23-BalSheet!J$23)</f>
        <v>0</v>
      </c>
      <c r="L30" s="28">
        <f>((BalSheet!L$23-BalSheet!K$23)&lt;0)*ABS(BalSheet!L$23-BalSheet!K$23)</f>
        <v>0</v>
      </c>
      <c r="M30" s="21"/>
    </row>
    <row r="31" spans="1:13" s="30" customFormat="1" ht="12.75">
      <c r="A31" s="19" t="s">
        <v>165</v>
      </c>
      <c r="B31" s="28">
        <f>((BalSheet!B$24)&lt;0)*ABS(BalSheet!B$24)</f>
        <v>0</v>
      </c>
      <c r="C31" s="28">
        <f>((BalSheet!C$24-BalSheet!B$24)&lt;0)*ABS(BalSheet!C$24-BalSheet!B$24)</f>
        <v>0</v>
      </c>
      <c r="D31" s="28">
        <f>((BalSheet!D$24-BalSheet!C$24)&lt;0)*ABS(BalSheet!D$24-BalSheet!C$24)</f>
        <v>0</v>
      </c>
      <c r="E31" s="28">
        <f>((BalSheet!E$24-BalSheet!D$24)&lt;0)*ABS(BalSheet!E$24-BalSheet!D$24)</f>
        <v>0</v>
      </c>
      <c r="F31" s="28">
        <f>((BalSheet!F$24-BalSheet!E$24)&lt;0)*ABS(BalSheet!F$24-BalSheet!E$24)</f>
        <v>0</v>
      </c>
      <c r="G31" s="28">
        <f>((BalSheet!G$24-BalSheet!F$24)&lt;0)*ABS(BalSheet!G$24-BalSheet!F$24)</f>
        <v>0</v>
      </c>
      <c r="H31" s="28">
        <f>((BalSheet!H$24-BalSheet!G$24)&lt;0)*ABS(BalSheet!H$24-BalSheet!G$24)</f>
        <v>0</v>
      </c>
      <c r="I31" s="28">
        <f>((BalSheet!I$24-BalSheet!H$24)&lt;0)*ABS(BalSheet!I$24-BalSheet!H$24)</f>
        <v>0</v>
      </c>
      <c r="J31" s="28">
        <f>((BalSheet!J$24-BalSheet!I$24)&lt;0)*ABS(BalSheet!J$24-BalSheet!I$24)</f>
        <v>0</v>
      </c>
      <c r="K31" s="28">
        <f>((BalSheet!K$24-BalSheet!J$24)&lt;0)*ABS(BalSheet!K$24-BalSheet!J$24)</f>
        <v>0</v>
      </c>
      <c r="L31" s="28">
        <f>((BalSheet!L$24-BalSheet!K$24)&lt;0)*ABS(BalSheet!L$24-BalSheet!K$24)</f>
        <v>0</v>
      </c>
      <c r="M31" s="21"/>
    </row>
    <row r="32" spans="1:13" s="30" customFormat="1" ht="12.75">
      <c r="A32" s="19" t="s">
        <v>166</v>
      </c>
      <c r="B32" s="28">
        <f>((BalSheet!B$27)&lt;0)*ABS(BalSheet!B$27)</f>
        <v>0</v>
      </c>
      <c r="C32" s="28">
        <f>((BalSheet!C$27-BalSheet!B$27)&lt;0)*ABS(BalSheet!C$27-BalSheet!B$27)</f>
        <v>15</v>
      </c>
      <c r="D32" s="28">
        <f>((BalSheet!D$27-BalSheet!C$27)&lt;0)*ABS(BalSheet!D$27-BalSheet!C$27)</f>
        <v>0</v>
      </c>
      <c r="E32" s="28">
        <f>((BalSheet!E$27-BalSheet!D$27)&lt;0)*ABS(BalSheet!E$27-BalSheet!D$27)</f>
        <v>0</v>
      </c>
      <c r="F32" s="28">
        <f>((BalSheet!F$27-BalSheet!E$27)&lt;0)*ABS(BalSheet!F$27-BalSheet!E$27)</f>
        <v>0</v>
      </c>
      <c r="G32" s="28">
        <f>((BalSheet!G$27-BalSheet!F$27)&lt;0)*ABS(BalSheet!G$27-BalSheet!F$27)</f>
        <v>0</v>
      </c>
      <c r="H32" s="28">
        <f>((BalSheet!H$27-BalSheet!G$27)&lt;0)*ABS(BalSheet!H$27-BalSheet!G$27)</f>
        <v>0</v>
      </c>
      <c r="I32" s="28">
        <f>((BalSheet!I$27-BalSheet!H$27)&lt;0)*ABS(BalSheet!I$27-BalSheet!H$27)</f>
        <v>0</v>
      </c>
      <c r="J32" s="28">
        <f>((BalSheet!J$27-BalSheet!I$27)&lt;0)*ABS(BalSheet!J$27-BalSheet!I$27)</f>
        <v>0</v>
      </c>
      <c r="K32" s="28">
        <f>((BalSheet!K$27-BalSheet!J$27)&lt;0)*ABS(BalSheet!K$27-BalSheet!J$27)</f>
        <v>0</v>
      </c>
      <c r="L32" s="28">
        <f>((BalSheet!L$27-BalSheet!K$27)&lt;0)*ABS(BalSheet!L$27-BalSheet!K$27)</f>
        <v>0</v>
      </c>
      <c r="M32" s="21"/>
    </row>
    <row r="33" spans="1:13" s="30" customFormat="1" ht="12.75">
      <c r="A33" s="19" t="s">
        <v>167</v>
      </c>
      <c r="B33" s="28">
        <f>((BalSheet!B$31)&lt;0)*ABS(BalSheet!B$31)</f>
        <v>0</v>
      </c>
      <c r="C33" s="28">
        <f>((BalSheet!C$31-BalSheet!B$31)&lt;0)*ABS(BalSheet!C$31-BalSheet!B$31)</f>
        <v>0</v>
      </c>
      <c r="D33" s="28">
        <f>((BalSheet!D$31-BalSheet!C$31)&lt;0)*ABS(BalSheet!D$31-BalSheet!C$31)</f>
        <v>0</v>
      </c>
      <c r="E33" s="28">
        <f>((BalSheet!E$31-BalSheet!D$31)&lt;0)*ABS(BalSheet!E$31-BalSheet!D$31)</f>
        <v>0</v>
      </c>
      <c r="F33" s="28">
        <f>((BalSheet!F$31-BalSheet!E$31)&lt;0)*ABS(BalSheet!F$31-BalSheet!E$31)</f>
        <v>0</v>
      </c>
      <c r="G33" s="28">
        <f>((BalSheet!G$31-BalSheet!F$31)&lt;0)*ABS(BalSheet!G$31-BalSheet!F$31)</f>
        <v>0</v>
      </c>
      <c r="H33" s="28">
        <f>((BalSheet!H$31-BalSheet!G$31)&lt;0)*ABS(BalSheet!H$31-BalSheet!G$31)</f>
        <v>0</v>
      </c>
      <c r="I33" s="28">
        <f>((BalSheet!I$31-BalSheet!H$31)&lt;0)*ABS(BalSheet!I$31-BalSheet!H$31)</f>
        <v>0</v>
      </c>
      <c r="J33" s="28">
        <f>((BalSheet!J$31-BalSheet!I$31)&lt;0)*ABS(BalSheet!J$31-BalSheet!I$31)</f>
        <v>0</v>
      </c>
      <c r="K33" s="28">
        <f>((BalSheet!K$31-BalSheet!J$31)&lt;0)*ABS(BalSheet!K$31-BalSheet!J$31)</f>
        <v>0</v>
      </c>
      <c r="L33" s="28">
        <f>((BalSheet!L$31-BalSheet!K$31)&lt;0)*ABS(BalSheet!L$31-BalSheet!K$31)</f>
        <v>0</v>
      </c>
      <c r="M33" s="21"/>
    </row>
    <row r="34" spans="1:13" s="30" customFormat="1" ht="6" customHeight="1">
      <c r="A34" s="2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1"/>
    </row>
    <row r="35" spans="1:13" s="30" customFormat="1" ht="12.75">
      <c r="A35" s="40" t="s">
        <v>170</v>
      </c>
      <c r="B35" s="186">
        <f aca="true" t="shared" si="3" ref="B35:L35">SUM(B26:B33)</f>
        <v>50</v>
      </c>
      <c r="C35" s="186">
        <f t="shared" si="3"/>
        <v>80.1659944551392</v>
      </c>
      <c r="D35" s="186">
        <f t="shared" si="3"/>
        <v>63.97215112946882</v>
      </c>
      <c r="E35" s="186">
        <f t="shared" si="3"/>
        <v>38.69721867282554</v>
      </c>
      <c r="F35" s="186">
        <f t="shared" si="3"/>
        <v>35.451695</v>
      </c>
      <c r="G35" s="186">
        <f t="shared" si="3"/>
        <v>41.39686450000002</v>
      </c>
      <c r="H35" s="186">
        <f t="shared" si="3"/>
        <v>43.136550950000014</v>
      </c>
      <c r="I35" s="186">
        <f t="shared" si="3"/>
        <v>49.85020604499999</v>
      </c>
      <c r="J35" s="186">
        <f t="shared" si="3"/>
        <v>107.87045040975586</v>
      </c>
      <c r="K35" s="186">
        <f t="shared" si="3"/>
        <v>126.03532397994563</v>
      </c>
      <c r="L35" s="186">
        <f t="shared" si="3"/>
        <v>153.52914828875538</v>
      </c>
      <c r="M35" s="21"/>
    </row>
    <row r="36" spans="1:13" s="30" customFormat="1" ht="7.5" customHeight="1">
      <c r="A36" s="2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1"/>
    </row>
    <row r="37" spans="1:13" s="30" customFormat="1" ht="12.75">
      <c r="A37" s="40" t="s">
        <v>171</v>
      </c>
      <c r="B37" s="186">
        <f aca="true" t="shared" si="4" ref="B37:L37">B22-B35</f>
        <v>4.38510535130326</v>
      </c>
      <c r="C37" s="186">
        <f t="shared" si="4"/>
        <v>19.133574471840774</v>
      </c>
      <c r="D37" s="186">
        <f t="shared" si="4"/>
        <v>36.01371119996595</v>
      </c>
      <c r="E37" s="186">
        <f t="shared" si="4"/>
        <v>60.63711460142838</v>
      </c>
      <c r="F37" s="186">
        <f t="shared" si="4"/>
        <v>62.96766604687066</v>
      </c>
      <c r="G37" s="186">
        <f t="shared" si="4"/>
        <v>56.902825621400495</v>
      </c>
      <c r="H37" s="186">
        <f t="shared" si="4"/>
        <v>54.451224038395736</v>
      </c>
      <c r="I37" s="186">
        <f t="shared" si="4"/>
        <v>45.728681362415315</v>
      </c>
      <c r="J37" s="186">
        <f t="shared" si="4"/>
        <v>-10.605889010042873</v>
      </c>
      <c r="K37" s="186">
        <f t="shared" si="4"/>
        <v>-30.3969601209523</v>
      </c>
      <c r="L37" s="186">
        <f t="shared" si="4"/>
        <v>-60.60990906124543</v>
      </c>
      <c r="M37" s="21"/>
    </row>
    <row r="38" spans="1:13" s="30" customFormat="1" ht="12.75">
      <c r="A38" s="2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1"/>
    </row>
    <row r="39" s="30" customFormat="1" ht="12.75"/>
    <row r="40" spans="1:12" s="30" customFormat="1" ht="12.75">
      <c r="A40" s="52" t="s">
        <v>331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4"/>
    </row>
    <row r="41" spans="1:12" s="30" customFormat="1" ht="12.75">
      <c r="A41" s="59" t="s">
        <v>197</v>
      </c>
      <c r="B41" s="60">
        <f>BalSheet!B8-BalSheet!A8</f>
        <v>4.38510535130326</v>
      </c>
      <c r="C41" s="60">
        <f>BalSheet!C8-BalSheet!B8</f>
        <v>19.133574471840774</v>
      </c>
      <c r="D41" s="60">
        <f>BalSheet!D8-BalSheet!C8</f>
        <v>36.01371119996595</v>
      </c>
      <c r="E41" s="60">
        <f>BalSheet!E8-BalSheet!D8</f>
        <v>60.63711460142838</v>
      </c>
      <c r="F41" s="60">
        <f>BalSheet!F8-BalSheet!E8</f>
        <v>62.96766604687066</v>
      </c>
      <c r="G41" s="60">
        <f>BalSheet!G8-BalSheet!F8</f>
        <v>56.902825621400495</v>
      </c>
      <c r="H41" s="60">
        <f>BalSheet!H8-BalSheet!G8</f>
        <v>54.45122403839571</v>
      </c>
      <c r="I41" s="60">
        <f>BalSheet!I8-BalSheet!H8</f>
        <v>45.72868136241533</v>
      </c>
      <c r="J41" s="60">
        <f>BalSheet!J8-BalSheet!I8</f>
        <v>-10.605889010042858</v>
      </c>
      <c r="K41" s="60">
        <f>BalSheet!K8-BalSheet!J8</f>
        <v>-30.396960120952315</v>
      </c>
      <c r="L41" s="61">
        <f>BalSheet!L8-BalSheet!K8</f>
        <v>-60.609909061245446</v>
      </c>
    </row>
    <row r="42" spans="1:12" s="30" customFormat="1" ht="12.75">
      <c r="A42" s="62" t="s">
        <v>330</v>
      </c>
      <c r="B42" s="56">
        <f>B41-B37</f>
        <v>0</v>
      </c>
      <c r="C42" s="56">
        <f aca="true" t="shared" si="5" ref="C42:L42">C41-C37</f>
        <v>0</v>
      </c>
      <c r="D42" s="56">
        <f t="shared" si="5"/>
        <v>0</v>
      </c>
      <c r="E42" s="56">
        <f t="shared" si="5"/>
        <v>0</v>
      </c>
      <c r="F42" s="56">
        <f t="shared" si="5"/>
        <v>0</v>
      </c>
      <c r="G42" s="56">
        <f t="shared" si="5"/>
        <v>0</v>
      </c>
      <c r="H42" s="56">
        <f t="shared" si="5"/>
        <v>0</v>
      </c>
      <c r="I42" s="56">
        <f t="shared" si="5"/>
        <v>0</v>
      </c>
      <c r="J42" s="56">
        <f t="shared" si="5"/>
        <v>1.4210854715202004E-14</v>
      </c>
      <c r="K42" s="56">
        <f t="shared" si="5"/>
        <v>0</v>
      </c>
      <c r="L42" s="57">
        <f t="shared" si="5"/>
        <v>0</v>
      </c>
    </row>
    <row r="44" ht="12.75">
      <c r="A44" s="40" t="s">
        <v>324</v>
      </c>
    </row>
    <row r="45" spans="1:12" ht="12.75">
      <c r="A45" s="20" t="s">
        <v>325</v>
      </c>
      <c r="B45" s="28">
        <f>B13-B26</f>
        <v>0</v>
      </c>
      <c r="C45" s="28">
        <f aca="true" t="shared" si="6" ref="C45:L45">C13-C26</f>
        <v>-6.870994455139201</v>
      </c>
      <c r="D45" s="28">
        <f t="shared" si="6"/>
        <v>-0.3426511294688277</v>
      </c>
      <c r="E45" s="28">
        <f t="shared" si="6"/>
        <v>-0.10476867282552593</v>
      </c>
      <c r="F45" s="28">
        <f t="shared" si="6"/>
        <v>0.09537953990637593</v>
      </c>
      <c r="G45" s="28">
        <f t="shared" si="6"/>
        <v>0.08837494990155292</v>
      </c>
      <c r="H45" s="28">
        <f t="shared" si="6"/>
        <v>0.09076569176213312</v>
      </c>
      <c r="I45" s="28">
        <f t="shared" si="6"/>
        <v>0.08410812035123971</v>
      </c>
      <c r="J45" s="28">
        <f t="shared" si="6"/>
        <v>-0.23522376025586045</v>
      </c>
      <c r="K45" s="28">
        <f t="shared" si="6"/>
        <v>-0.4365746654956828</v>
      </c>
      <c r="L45" s="28">
        <f t="shared" si="6"/>
        <v>-0.4755240428603891</v>
      </c>
    </row>
    <row r="46" spans="1:12" ht="12.75">
      <c r="A46" s="20" t="s">
        <v>326</v>
      </c>
      <c r="B46" s="252">
        <f>B17-B30</f>
        <v>0.0013540589724310777</v>
      </c>
      <c r="C46" s="252">
        <f aca="true" t="shared" si="7" ref="C46:L46">C17-C30</f>
        <v>1.9279363609375124</v>
      </c>
      <c r="D46" s="252">
        <f t="shared" si="7"/>
        <v>0.8197251392802893</v>
      </c>
      <c r="E46" s="252">
        <f t="shared" si="7"/>
        <v>0.8324070325848854</v>
      </c>
      <c r="F46" s="252">
        <f t="shared" si="7"/>
        <v>0.48531121346033634</v>
      </c>
      <c r="G46" s="252">
        <f t="shared" si="7"/>
        <v>0.4463159847313767</v>
      </c>
      <c r="H46" s="252">
        <f t="shared" si="7"/>
        <v>0.5227145662747654</v>
      </c>
      <c r="I46" s="252">
        <f t="shared" si="7"/>
        <v>0.5470041741819793</v>
      </c>
      <c r="J46" s="252">
        <f t="shared" si="7"/>
        <v>0.6857529694871944</v>
      </c>
      <c r="K46" s="252">
        <f t="shared" si="7"/>
        <v>1.478114456192193</v>
      </c>
      <c r="L46" s="252">
        <f t="shared" si="7"/>
        <v>1.7186594334439071</v>
      </c>
    </row>
    <row r="47" spans="1:12" ht="12.75">
      <c r="A47" s="20" t="s">
        <v>327</v>
      </c>
      <c r="B47" s="28">
        <f>SUM(B45:B46)</f>
        <v>0.0013540589724310777</v>
      </c>
      <c r="C47" s="28">
        <f aca="true" t="shared" si="8" ref="C47:L47">SUM(C45:C46)</f>
        <v>-4.943058094201688</v>
      </c>
      <c r="D47" s="28">
        <f t="shared" si="8"/>
        <v>0.47707400981146164</v>
      </c>
      <c r="E47" s="28">
        <f t="shared" si="8"/>
        <v>0.7276383597593594</v>
      </c>
      <c r="F47" s="28">
        <f t="shared" si="8"/>
        <v>0.5806907533667123</v>
      </c>
      <c r="G47" s="28">
        <f t="shared" si="8"/>
        <v>0.5346909346329296</v>
      </c>
      <c r="H47" s="28">
        <f t="shared" si="8"/>
        <v>0.6134802580368985</v>
      </c>
      <c r="I47" s="28">
        <f t="shared" si="8"/>
        <v>0.631112294533219</v>
      </c>
      <c r="J47" s="28">
        <f t="shared" si="8"/>
        <v>0.450529209231334</v>
      </c>
      <c r="K47" s="28">
        <f t="shared" si="8"/>
        <v>1.0415397906965103</v>
      </c>
      <c r="L47" s="28">
        <f t="shared" si="8"/>
        <v>1.243135390583518</v>
      </c>
    </row>
    <row r="48" spans="2:12" ht="12.7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N25"/>
  <sheetViews>
    <sheetView workbookViewId="0" topLeftCell="A1">
      <selection activeCell="B32" sqref="B32"/>
    </sheetView>
  </sheetViews>
  <sheetFormatPr defaultColWidth="9.00390625" defaultRowHeight="12.75"/>
  <cols>
    <col min="1" max="1" width="24.875" style="101" customWidth="1"/>
    <col min="2" max="13" width="7.625" style="101" customWidth="1"/>
  </cols>
  <sheetData>
    <row r="1" spans="1:13" s="15" customFormat="1" ht="12">
      <c r="A1" s="76" t="s">
        <v>35</v>
      </c>
      <c r="B1" s="77">
        <v>0</v>
      </c>
      <c r="C1" s="77">
        <v>1</v>
      </c>
      <c r="D1" s="77">
        <v>2</v>
      </c>
      <c r="E1" s="77">
        <v>3</v>
      </c>
      <c r="F1" s="77">
        <v>4</v>
      </c>
      <c r="G1" s="77">
        <v>5</v>
      </c>
      <c r="H1" s="77">
        <v>6</v>
      </c>
      <c r="I1" s="77">
        <v>7</v>
      </c>
      <c r="J1" s="77">
        <v>8</v>
      </c>
      <c r="K1" s="77">
        <v>9</v>
      </c>
      <c r="L1" s="77">
        <v>10</v>
      </c>
      <c r="M1" s="12"/>
    </row>
    <row r="2" spans="1:13" s="15" customFormat="1" ht="12">
      <c r="A2" s="78"/>
      <c r="B2" s="77">
        <f>C2-1</f>
        <v>1998</v>
      </c>
      <c r="C2" s="77">
        <f>Assumptions!B7</f>
        <v>1999</v>
      </c>
      <c r="D2" s="77">
        <f>C2+1</f>
        <v>2000</v>
      </c>
      <c r="E2" s="77">
        <f aca="true" t="shared" si="0" ref="E2:L2">D2+1</f>
        <v>2001</v>
      </c>
      <c r="F2" s="77">
        <f t="shared" si="0"/>
        <v>2002</v>
      </c>
      <c r="G2" s="77">
        <f t="shared" si="0"/>
        <v>2003</v>
      </c>
      <c r="H2" s="77">
        <f t="shared" si="0"/>
        <v>2004</v>
      </c>
      <c r="I2" s="77">
        <f t="shared" si="0"/>
        <v>2005</v>
      </c>
      <c r="J2" s="77">
        <f t="shared" si="0"/>
        <v>2006</v>
      </c>
      <c r="K2" s="77">
        <f t="shared" si="0"/>
        <v>2007</v>
      </c>
      <c r="L2" s="77">
        <f t="shared" si="0"/>
        <v>2008</v>
      </c>
      <c r="M2" s="12"/>
    </row>
    <row r="3" spans="1:13" s="15" customFormat="1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03"/>
    </row>
    <row r="4" spans="1:14" s="15" customFormat="1" ht="12">
      <c r="A4" s="187" t="s">
        <v>100</v>
      </c>
      <c r="B4" s="188"/>
      <c r="C4" s="259">
        <f>1/B7</f>
        <v>7</v>
      </c>
      <c r="D4" s="260" t="s">
        <v>101</v>
      </c>
      <c r="E4" s="261"/>
      <c r="F4" s="261"/>
      <c r="G4" s="188"/>
      <c r="H4" s="188"/>
      <c r="I4" s="188"/>
      <c r="J4" s="188"/>
      <c r="K4" s="188"/>
      <c r="L4" s="189"/>
      <c r="M4" s="74"/>
      <c r="N4" s="22"/>
    </row>
    <row r="5" spans="1:14" s="15" customFormat="1" ht="12">
      <c r="A5" s="190" t="s">
        <v>35</v>
      </c>
      <c r="B5" s="191">
        <v>0</v>
      </c>
      <c r="C5" s="191">
        <f aca="true" t="shared" si="1" ref="C5:L5">B5+1</f>
        <v>1</v>
      </c>
      <c r="D5" s="191">
        <f t="shared" si="1"/>
        <v>2</v>
      </c>
      <c r="E5" s="191">
        <f t="shared" si="1"/>
        <v>3</v>
      </c>
      <c r="F5" s="191">
        <f t="shared" si="1"/>
        <v>4</v>
      </c>
      <c r="G5" s="191">
        <f t="shared" si="1"/>
        <v>5</v>
      </c>
      <c r="H5" s="191">
        <f t="shared" si="1"/>
        <v>6</v>
      </c>
      <c r="I5" s="191">
        <f t="shared" si="1"/>
        <v>7</v>
      </c>
      <c r="J5" s="191">
        <f t="shared" si="1"/>
        <v>8</v>
      </c>
      <c r="K5" s="191">
        <f t="shared" si="1"/>
        <v>9</v>
      </c>
      <c r="L5" s="192">
        <f t="shared" si="1"/>
        <v>10</v>
      </c>
      <c r="M5" s="91"/>
      <c r="N5" s="63"/>
    </row>
    <row r="6" spans="1:14" s="15" customFormat="1" ht="12">
      <c r="A6" s="193" t="s">
        <v>102</v>
      </c>
      <c r="B6" s="194">
        <f>CapEx!B46</f>
        <v>50</v>
      </c>
      <c r="C6" s="194">
        <f>CapEx!C46</f>
        <v>58.295</v>
      </c>
      <c r="D6" s="194">
        <f>CapEx!D46</f>
        <v>63.6295</v>
      </c>
      <c r="E6" s="194">
        <f>CapEx!E46</f>
        <v>38.59245</v>
      </c>
      <c r="F6" s="194">
        <f>CapEx!F46</f>
        <v>35.451695</v>
      </c>
      <c r="G6" s="194">
        <f>CapEx!G46</f>
        <v>41.39686450000001</v>
      </c>
      <c r="H6" s="194">
        <f>CapEx!H46</f>
        <v>43.13655095</v>
      </c>
      <c r="I6" s="194">
        <f>CapEx!I46</f>
        <v>49.85020604500001</v>
      </c>
      <c r="J6" s="194">
        <f>CapEx!J46</f>
        <v>107.6352266495</v>
      </c>
      <c r="K6" s="194">
        <f>CapEx!K46</f>
        <v>125.59874931445</v>
      </c>
      <c r="L6" s="195">
        <f>CapEx!L46</f>
        <v>153.05362424589498</v>
      </c>
      <c r="M6" s="196">
        <f>SUM(B6:L6)</f>
        <v>766.639866704845</v>
      </c>
      <c r="N6" s="22"/>
    </row>
    <row r="7" spans="1:14" s="15" customFormat="1" ht="12">
      <c r="A7" s="160" t="s">
        <v>103</v>
      </c>
      <c r="B7" s="203">
        <f>Assumptions!B14</f>
        <v>0.14285714285714285</v>
      </c>
      <c r="C7" s="12"/>
      <c r="D7" s="194"/>
      <c r="E7" s="12"/>
      <c r="F7" s="12"/>
      <c r="G7" s="12"/>
      <c r="H7" s="194"/>
      <c r="I7" s="194"/>
      <c r="J7" s="194"/>
      <c r="K7" s="194"/>
      <c r="L7" s="195"/>
      <c r="M7" s="74"/>
      <c r="N7" s="22"/>
    </row>
    <row r="8" spans="1:14" s="15" customFormat="1" ht="12">
      <c r="A8" s="193" t="s">
        <v>339</v>
      </c>
      <c r="B8" s="194">
        <f>B7</f>
        <v>0.14285714285714285</v>
      </c>
      <c r="C8" s="197">
        <f>IF(SUM($B$8:B8)&gt;=1,0,MIN($B$7,1-SUM($B$8:B8)))</f>
        <v>0.14285714285714285</v>
      </c>
      <c r="D8" s="197">
        <f>IF(SUM($B$8:C8)&gt;=1,0,MIN($B$7,1-SUM($B$8:C8)))</f>
        <v>0.14285714285714285</v>
      </c>
      <c r="E8" s="197">
        <f>IF(SUM($B$8:D8)&gt;=1,0,MIN($B$7,1-SUM($B$8:D8)))</f>
        <v>0.14285714285714285</v>
      </c>
      <c r="F8" s="197">
        <f>IF(SUM($B$8:E8)&gt;=1,0,MIN($B$7,1-SUM($B$8:E8)))</f>
        <v>0.14285714285714285</v>
      </c>
      <c r="G8" s="197">
        <f>IF(SUM($B$8:F8)&gt;=1,0,MIN($B$7,1-SUM($B$8:F8)))</f>
        <v>0.14285714285714285</v>
      </c>
      <c r="H8" s="197">
        <f>IF(SUM($B$8:G8)&gt;=1,0,MIN($B$7,1-SUM($B$8:G8)))</f>
        <v>0.14285714285714285</v>
      </c>
      <c r="I8" s="197">
        <f>IF(SUM($B$8:H8)&gt;=1,0,MIN($B$7,1-SUM($B$8:H8)))</f>
        <v>0</v>
      </c>
      <c r="J8" s="197">
        <f>IF(SUM($B$8:I8)&gt;=1,0,MIN($B$7,1-SUM($B$8:I8)))</f>
        <v>0</v>
      </c>
      <c r="K8" s="197">
        <f>IF(SUM($B$8:J8)&gt;=1,0,MIN($B$7,1-SUM($B$8:J8)))</f>
        <v>0</v>
      </c>
      <c r="L8" s="198">
        <f>IF(SUM($B$8:K8)&gt;=1,0,MIN($B$7,1-SUM($B$8:K8)))</f>
        <v>0</v>
      </c>
      <c r="M8" s="196">
        <f>SUM(B8:L8)</f>
        <v>0.9999999999999998</v>
      </c>
      <c r="N8" s="22"/>
    </row>
    <row r="9" spans="1:14" s="15" customFormat="1" ht="12">
      <c r="A9" s="193" t="s">
        <v>104</v>
      </c>
      <c r="B9" s="194">
        <f aca="true" t="shared" si="2" ref="B9:L9">(B8+A8)/2</f>
        <v>0.07142857142857142</v>
      </c>
      <c r="C9" s="194">
        <f t="shared" si="2"/>
        <v>0.14285714285714285</v>
      </c>
      <c r="D9" s="194">
        <f t="shared" si="2"/>
        <v>0.14285714285714285</v>
      </c>
      <c r="E9" s="194">
        <f t="shared" si="2"/>
        <v>0.14285714285714285</v>
      </c>
      <c r="F9" s="194">
        <f t="shared" si="2"/>
        <v>0.14285714285714285</v>
      </c>
      <c r="G9" s="194">
        <f t="shared" si="2"/>
        <v>0.14285714285714285</v>
      </c>
      <c r="H9" s="194">
        <f t="shared" si="2"/>
        <v>0.14285714285714285</v>
      </c>
      <c r="I9" s="194">
        <f t="shared" si="2"/>
        <v>0.07142857142857142</v>
      </c>
      <c r="J9" s="194">
        <f t="shared" si="2"/>
        <v>0</v>
      </c>
      <c r="K9" s="194">
        <f t="shared" si="2"/>
        <v>0</v>
      </c>
      <c r="L9" s="195">
        <f t="shared" si="2"/>
        <v>0</v>
      </c>
      <c r="M9" s="196">
        <f>SUM(B9:L9)</f>
        <v>0.9999999999999998</v>
      </c>
      <c r="N9" s="22"/>
    </row>
    <row r="10" spans="1:14" s="15" customFormat="1" ht="12">
      <c r="A10" s="193" t="s">
        <v>105</v>
      </c>
      <c r="B10" s="194">
        <f aca="true" t="shared" si="3" ref="B10:L10">B23</f>
        <v>3.571428571428571</v>
      </c>
      <c r="C10" s="194">
        <f t="shared" si="3"/>
        <v>11.306785714285713</v>
      </c>
      <c r="D10" s="194">
        <f t="shared" si="3"/>
        <v>20.01567857142857</v>
      </c>
      <c r="E10" s="194">
        <f t="shared" si="3"/>
        <v>27.317246428571426</v>
      </c>
      <c r="F10" s="194">
        <f t="shared" si="3"/>
        <v>32.60611392857143</v>
      </c>
      <c r="G10" s="194">
        <f t="shared" si="3"/>
        <v>38.09529675</v>
      </c>
      <c r="H10" s="194">
        <f t="shared" si="3"/>
        <v>44.13339785357143</v>
      </c>
      <c r="I10" s="194">
        <f t="shared" si="3"/>
        <v>47.20388049607142</v>
      </c>
      <c r="J10" s="194">
        <f t="shared" si="3"/>
        <v>50.71748283139286</v>
      </c>
      <c r="K10" s="194">
        <f t="shared" si="3"/>
        <v>58.66815968596072</v>
      </c>
      <c r="L10" s="195">
        <f t="shared" si="3"/>
        <v>71.27033279741393</v>
      </c>
      <c r="M10" s="196">
        <f>SUM(B10:L10)</f>
        <v>404.9058036286961</v>
      </c>
      <c r="N10" s="22"/>
    </row>
    <row r="11" spans="1:14" s="15" customFormat="1" ht="12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5"/>
      <c r="M11" s="74"/>
      <c r="N11" s="22"/>
    </row>
    <row r="12" spans="1:14" s="15" customFormat="1" ht="12">
      <c r="A12" s="199" t="s">
        <v>106</v>
      </c>
      <c r="B12" s="194">
        <f aca="true" t="shared" si="4" ref="B12:L12">$B$6*B9</f>
        <v>3.571428571428571</v>
      </c>
      <c r="C12" s="194">
        <f t="shared" si="4"/>
        <v>7.142857142857142</v>
      </c>
      <c r="D12" s="194">
        <f t="shared" si="4"/>
        <v>7.142857142857142</v>
      </c>
      <c r="E12" s="194">
        <f t="shared" si="4"/>
        <v>7.142857142857142</v>
      </c>
      <c r="F12" s="194">
        <f t="shared" si="4"/>
        <v>7.142857142857142</v>
      </c>
      <c r="G12" s="194">
        <f t="shared" si="4"/>
        <v>7.142857142857142</v>
      </c>
      <c r="H12" s="194">
        <f t="shared" si="4"/>
        <v>7.142857142857142</v>
      </c>
      <c r="I12" s="194">
        <f t="shared" si="4"/>
        <v>3.571428571428571</v>
      </c>
      <c r="J12" s="194">
        <f t="shared" si="4"/>
        <v>0</v>
      </c>
      <c r="K12" s="194">
        <f t="shared" si="4"/>
        <v>0</v>
      </c>
      <c r="L12" s="195">
        <f t="shared" si="4"/>
        <v>0</v>
      </c>
      <c r="M12" s="74"/>
      <c r="N12" s="22"/>
    </row>
    <row r="13" spans="1:14" s="15" customFormat="1" ht="12">
      <c r="A13" s="193" t="s">
        <v>107</v>
      </c>
      <c r="B13" s="194"/>
      <c r="C13" s="194">
        <f aca="true" t="shared" si="5" ref="C13:L13">$C$6*B9</f>
        <v>4.163928571428571</v>
      </c>
      <c r="D13" s="194">
        <f t="shared" si="5"/>
        <v>8.327857142857143</v>
      </c>
      <c r="E13" s="194">
        <f t="shared" si="5"/>
        <v>8.327857142857143</v>
      </c>
      <c r="F13" s="194">
        <f t="shared" si="5"/>
        <v>8.327857142857143</v>
      </c>
      <c r="G13" s="194">
        <f t="shared" si="5"/>
        <v>8.327857142857143</v>
      </c>
      <c r="H13" s="194">
        <f t="shared" si="5"/>
        <v>8.327857142857143</v>
      </c>
      <c r="I13" s="194">
        <f t="shared" si="5"/>
        <v>8.327857142857143</v>
      </c>
      <c r="J13" s="194">
        <f t="shared" si="5"/>
        <v>4.163928571428571</v>
      </c>
      <c r="K13" s="194">
        <f t="shared" si="5"/>
        <v>0</v>
      </c>
      <c r="L13" s="195">
        <f t="shared" si="5"/>
        <v>0</v>
      </c>
      <c r="M13" s="74"/>
      <c r="N13" s="22"/>
    </row>
    <row r="14" spans="1:14" s="15" customFormat="1" ht="12">
      <c r="A14" s="193" t="s">
        <v>108</v>
      </c>
      <c r="B14" s="194"/>
      <c r="C14" s="194"/>
      <c r="D14" s="194">
        <f aca="true" t="shared" si="6" ref="D14:L14">$D$6*B9</f>
        <v>4.544964285714285</v>
      </c>
      <c r="E14" s="194">
        <f t="shared" si="6"/>
        <v>9.08992857142857</v>
      </c>
      <c r="F14" s="194">
        <f t="shared" si="6"/>
        <v>9.08992857142857</v>
      </c>
      <c r="G14" s="194">
        <f t="shared" si="6"/>
        <v>9.08992857142857</v>
      </c>
      <c r="H14" s="194">
        <f t="shared" si="6"/>
        <v>9.08992857142857</v>
      </c>
      <c r="I14" s="194">
        <f t="shared" si="6"/>
        <v>9.08992857142857</v>
      </c>
      <c r="J14" s="194">
        <f t="shared" si="6"/>
        <v>9.08992857142857</v>
      </c>
      <c r="K14" s="194">
        <f t="shared" si="6"/>
        <v>4.544964285714285</v>
      </c>
      <c r="L14" s="195">
        <f t="shared" si="6"/>
        <v>0</v>
      </c>
      <c r="M14" s="74"/>
      <c r="N14" s="22"/>
    </row>
    <row r="15" spans="1:14" s="15" customFormat="1" ht="12">
      <c r="A15" s="193" t="s">
        <v>109</v>
      </c>
      <c r="B15" s="194"/>
      <c r="C15" s="194"/>
      <c r="D15" s="194"/>
      <c r="E15" s="194">
        <f aca="true" t="shared" si="7" ref="E15:L15">$E$6*B9</f>
        <v>2.7566035714285713</v>
      </c>
      <c r="F15" s="194">
        <f t="shared" si="7"/>
        <v>5.5132071428571425</v>
      </c>
      <c r="G15" s="194">
        <f t="shared" si="7"/>
        <v>5.5132071428571425</v>
      </c>
      <c r="H15" s="194">
        <f t="shared" si="7"/>
        <v>5.5132071428571425</v>
      </c>
      <c r="I15" s="194">
        <f t="shared" si="7"/>
        <v>5.5132071428571425</v>
      </c>
      <c r="J15" s="194">
        <f t="shared" si="7"/>
        <v>5.5132071428571425</v>
      </c>
      <c r="K15" s="194">
        <f t="shared" si="7"/>
        <v>5.5132071428571425</v>
      </c>
      <c r="L15" s="195">
        <f t="shared" si="7"/>
        <v>2.7566035714285713</v>
      </c>
      <c r="M15" s="74"/>
      <c r="N15" s="22"/>
    </row>
    <row r="16" spans="1:14" s="15" customFormat="1" ht="12">
      <c r="A16" s="193" t="s">
        <v>110</v>
      </c>
      <c r="B16" s="194"/>
      <c r="C16" s="194"/>
      <c r="D16" s="194"/>
      <c r="E16" s="194"/>
      <c r="F16" s="194">
        <f aca="true" t="shared" si="8" ref="F16:L16">$F$6*B9</f>
        <v>2.5322639285714286</v>
      </c>
      <c r="G16" s="194">
        <f t="shared" si="8"/>
        <v>5.064527857142857</v>
      </c>
      <c r="H16" s="194">
        <f t="shared" si="8"/>
        <v>5.064527857142857</v>
      </c>
      <c r="I16" s="194">
        <f t="shared" si="8"/>
        <v>5.064527857142857</v>
      </c>
      <c r="J16" s="194">
        <f t="shared" si="8"/>
        <v>5.064527857142857</v>
      </c>
      <c r="K16" s="194">
        <f t="shared" si="8"/>
        <v>5.064527857142857</v>
      </c>
      <c r="L16" s="195">
        <f t="shared" si="8"/>
        <v>5.064527857142857</v>
      </c>
      <c r="M16" s="74"/>
      <c r="N16" s="22"/>
    </row>
    <row r="17" spans="1:14" s="15" customFormat="1" ht="12">
      <c r="A17" s="193" t="s">
        <v>111</v>
      </c>
      <c r="B17" s="194"/>
      <c r="C17" s="194"/>
      <c r="D17" s="194"/>
      <c r="E17" s="194"/>
      <c r="F17" s="194"/>
      <c r="G17" s="194">
        <f aca="true" t="shared" si="9" ref="G17:L17">$G$6*B9</f>
        <v>2.9569188928571433</v>
      </c>
      <c r="H17" s="194">
        <f t="shared" si="9"/>
        <v>5.9138377857142865</v>
      </c>
      <c r="I17" s="194">
        <f t="shared" si="9"/>
        <v>5.9138377857142865</v>
      </c>
      <c r="J17" s="194">
        <f t="shared" si="9"/>
        <v>5.9138377857142865</v>
      </c>
      <c r="K17" s="194">
        <f t="shared" si="9"/>
        <v>5.9138377857142865</v>
      </c>
      <c r="L17" s="195">
        <f t="shared" si="9"/>
        <v>5.9138377857142865</v>
      </c>
      <c r="M17" s="74"/>
      <c r="N17" s="22"/>
    </row>
    <row r="18" spans="1:14" s="15" customFormat="1" ht="12">
      <c r="A18" s="193" t="s">
        <v>112</v>
      </c>
      <c r="B18" s="194"/>
      <c r="C18" s="194"/>
      <c r="D18" s="194"/>
      <c r="E18" s="194"/>
      <c r="F18" s="194"/>
      <c r="G18" s="194"/>
      <c r="H18" s="194">
        <f>$H$6*B9</f>
        <v>3.0811822107142857</v>
      </c>
      <c r="I18" s="194">
        <f>$H$6*C9</f>
        <v>6.162364421428571</v>
      </c>
      <c r="J18" s="194">
        <f>$H$6*D9</f>
        <v>6.162364421428571</v>
      </c>
      <c r="K18" s="194">
        <f>$H$6*E9</f>
        <v>6.162364421428571</v>
      </c>
      <c r="L18" s="195">
        <f>$H$6*F9</f>
        <v>6.162364421428571</v>
      </c>
      <c r="M18" s="74"/>
      <c r="N18" s="22"/>
    </row>
    <row r="19" spans="1:14" s="15" customFormat="1" ht="12">
      <c r="A19" s="193" t="s">
        <v>113</v>
      </c>
      <c r="B19" s="194"/>
      <c r="C19" s="194"/>
      <c r="D19" s="194"/>
      <c r="E19" s="194"/>
      <c r="F19" s="194"/>
      <c r="G19" s="194"/>
      <c r="H19" s="194"/>
      <c r="I19" s="194">
        <f>$I$6*B9</f>
        <v>3.560729003214286</v>
      </c>
      <c r="J19" s="194">
        <f>$I$6*C9</f>
        <v>7.121458006428572</v>
      </c>
      <c r="K19" s="194">
        <f>$I$6*D9</f>
        <v>7.121458006428572</v>
      </c>
      <c r="L19" s="195">
        <f>$I$6*E9</f>
        <v>7.121458006428572</v>
      </c>
      <c r="M19" s="74"/>
      <c r="N19" s="22"/>
    </row>
    <row r="20" spans="1:14" s="15" customFormat="1" ht="12">
      <c r="A20" s="193" t="s">
        <v>114</v>
      </c>
      <c r="B20" s="194"/>
      <c r="C20" s="194"/>
      <c r="D20" s="194"/>
      <c r="E20" s="194"/>
      <c r="F20" s="194"/>
      <c r="G20" s="194"/>
      <c r="H20" s="194"/>
      <c r="I20" s="194"/>
      <c r="J20" s="194">
        <f>$J$6*B9</f>
        <v>7.688230474964286</v>
      </c>
      <c r="K20" s="194">
        <f>$J$6*C9</f>
        <v>15.376460949928571</v>
      </c>
      <c r="L20" s="195">
        <f>$J$6*D9</f>
        <v>15.376460949928571</v>
      </c>
      <c r="M20" s="74"/>
      <c r="N20" s="22"/>
    </row>
    <row r="21" spans="1:14" s="15" customFormat="1" ht="12">
      <c r="A21" s="193" t="s">
        <v>115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>
        <f>$K$6*B9</f>
        <v>8.971339236746429</v>
      </c>
      <c r="L21" s="195">
        <f>$K$6*C9</f>
        <v>17.942678473492858</v>
      </c>
      <c r="M21" s="74"/>
      <c r="N21" s="22"/>
    </row>
    <row r="22" spans="1:14" s="15" customFormat="1" ht="12">
      <c r="A22" s="193" t="s">
        <v>116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5">
        <f>$L$6*B9</f>
        <v>10.932401731849641</v>
      </c>
      <c r="M22" s="74"/>
      <c r="N22" s="22"/>
    </row>
    <row r="23" spans="1:14" s="15" customFormat="1" ht="12">
      <c r="A23" s="199" t="s">
        <v>117</v>
      </c>
      <c r="B23" s="194">
        <f aca="true" t="shared" si="10" ref="B23:L23">SUM(B12:B22)</f>
        <v>3.571428571428571</v>
      </c>
      <c r="C23" s="194">
        <f t="shared" si="10"/>
        <v>11.306785714285713</v>
      </c>
      <c r="D23" s="194">
        <f t="shared" si="10"/>
        <v>20.01567857142857</v>
      </c>
      <c r="E23" s="194">
        <f t="shared" si="10"/>
        <v>27.317246428571426</v>
      </c>
      <c r="F23" s="194">
        <f t="shared" si="10"/>
        <v>32.60611392857143</v>
      </c>
      <c r="G23" s="194">
        <f t="shared" si="10"/>
        <v>38.09529675</v>
      </c>
      <c r="H23" s="194">
        <f t="shared" si="10"/>
        <v>44.13339785357143</v>
      </c>
      <c r="I23" s="194">
        <f t="shared" si="10"/>
        <v>47.20388049607142</v>
      </c>
      <c r="J23" s="194">
        <f t="shared" si="10"/>
        <v>50.71748283139286</v>
      </c>
      <c r="K23" s="194">
        <f t="shared" si="10"/>
        <v>58.66815968596072</v>
      </c>
      <c r="L23" s="195">
        <f t="shared" si="10"/>
        <v>71.27033279741393</v>
      </c>
      <c r="M23" s="196">
        <f>SUM(B23:L23)</f>
        <v>404.9058036286961</v>
      </c>
      <c r="N23" s="22"/>
    </row>
    <row r="24" spans="1:14" s="15" customFormat="1" ht="12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2"/>
      <c r="M24" s="74"/>
      <c r="N24" s="22"/>
    </row>
    <row r="25" spans="1:13" s="15" customFormat="1" ht="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  <rowBreaks count="1" manualBreakCount="1"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M37"/>
  <sheetViews>
    <sheetView zoomScale="75" zoomScaleNormal="75" workbookViewId="0" topLeftCell="A1">
      <selection activeCell="B32" sqref="B32"/>
    </sheetView>
  </sheetViews>
  <sheetFormatPr defaultColWidth="9.00390625" defaultRowHeight="12.75"/>
  <cols>
    <col min="1" max="1" width="25.875" style="0" customWidth="1"/>
    <col min="2" max="12" width="7.625" style="0" customWidth="1"/>
  </cols>
  <sheetData>
    <row r="1" spans="1:13" s="30" customFormat="1" ht="12.75">
      <c r="A1" s="72" t="s">
        <v>172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1"/>
    </row>
    <row r="2" spans="1:13" s="30" customFormat="1" ht="12.75">
      <c r="A2" s="7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1"/>
    </row>
    <row r="3" spans="1:13" s="30" customFormat="1" ht="12.75">
      <c r="A3" s="76" t="s">
        <v>35</v>
      </c>
      <c r="B3" s="77">
        <v>0</v>
      </c>
      <c r="C3" s="77">
        <v>1</v>
      </c>
      <c r="D3" s="77">
        <v>2</v>
      </c>
      <c r="E3" s="77">
        <v>3</v>
      </c>
      <c r="F3" s="77">
        <v>4</v>
      </c>
      <c r="G3" s="77">
        <v>5</v>
      </c>
      <c r="H3" s="77">
        <v>6</v>
      </c>
      <c r="I3" s="77">
        <v>7</v>
      </c>
      <c r="J3" s="77">
        <v>8</v>
      </c>
      <c r="K3" s="77">
        <v>9</v>
      </c>
      <c r="L3" s="77">
        <v>10</v>
      </c>
      <c r="M3" s="21"/>
    </row>
    <row r="4" spans="1:13" s="30" customFormat="1" ht="12.75">
      <c r="A4" s="78"/>
      <c r="B4" s="77">
        <f>C4-1</f>
        <v>1998</v>
      </c>
      <c r="C4" s="77">
        <f>Assumptions!B7</f>
        <v>1999</v>
      </c>
      <c r="D4" s="77">
        <f>C4+1</f>
        <v>2000</v>
      </c>
      <c r="E4" s="77">
        <f aca="true" t="shared" si="0" ref="E4:L4">D4+1</f>
        <v>2001</v>
      </c>
      <c r="F4" s="77">
        <f t="shared" si="0"/>
        <v>2002</v>
      </c>
      <c r="G4" s="77">
        <f t="shared" si="0"/>
        <v>2003</v>
      </c>
      <c r="H4" s="77">
        <f t="shared" si="0"/>
        <v>2004</v>
      </c>
      <c r="I4" s="77">
        <f t="shared" si="0"/>
        <v>2005</v>
      </c>
      <c r="J4" s="77">
        <f t="shared" si="0"/>
        <v>2006</v>
      </c>
      <c r="K4" s="77">
        <f t="shared" si="0"/>
        <v>2007</v>
      </c>
      <c r="L4" s="77">
        <f t="shared" si="0"/>
        <v>2008</v>
      </c>
      <c r="M4" s="58"/>
    </row>
    <row r="5" spans="1:13" s="30" customFormat="1" ht="12.75">
      <c r="A5" s="75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21"/>
    </row>
    <row r="6" spans="1:13" s="30" customFormat="1" ht="12.75">
      <c r="A6" s="75" t="s">
        <v>173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21"/>
    </row>
    <row r="7" spans="1:13" s="30" customFormat="1" ht="12.75">
      <c r="A7" s="75" t="s">
        <v>174</v>
      </c>
      <c r="B7" s="176">
        <f>BalSheet!B11/BalSheet!B25</f>
        <v>3238.4891947728397</v>
      </c>
      <c r="C7" s="176">
        <f>BalSheet!C11/BalSheet!C25</f>
        <v>15.75173647506205</v>
      </c>
      <c r="D7" s="176">
        <f>BalSheet!D11/BalSheet!D25</f>
        <v>24.279977748608722</v>
      </c>
      <c r="E7" s="176">
        <f>BalSheet!E11/BalSheet!E25</f>
        <v>35.59700555157972</v>
      </c>
      <c r="F7" s="176">
        <f>BalSheet!F11/BalSheet!F25</f>
        <v>46.80911402262652</v>
      </c>
      <c r="G7" s="176">
        <f>BalSheet!G11/BalSheet!G25</f>
        <v>54.76887438954042</v>
      </c>
      <c r="H7" s="176">
        <f>BalSheet!H11/BalSheet!H25</f>
        <v>59.87871831876523</v>
      </c>
      <c r="I7" s="176">
        <f>BalSheet!I11/BalSheet!I25</f>
        <v>62.18772760453165</v>
      </c>
      <c r="J7" s="176">
        <f>BalSheet!J11/BalSheet!J25</f>
        <v>53.73021746900607</v>
      </c>
      <c r="K7" s="176">
        <f>BalSheet!K11/BalSheet!K25</f>
        <v>39.61056640362031</v>
      </c>
      <c r="L7" s="176">
        <f>BalSheet!L11/BalSheet!L25</f>
        <v>26.06514036508215</v>
      </c>
      <c r="M7" s="21"/>
    </row>
    <row r="8" spans="1:13" s="30" customFormat="1" ht="12.75">
      <c r="A8" s="75" t="s">
        <v>175</v>
      </c>
      <c r="B8" s="176">
        <f>(BalSheet!B11-BalSheet!B10)/BalSheet!B25</f>
        <v>3238.4891947728397</v>
      </c>
      <c r="C8" s="176">
        <f>(BalSheet!C11-BalSheet!C10)/BalSheet!C25</f>
        <v>15.75173647506205</v>
      </c>
      <c r="D8" s="176">
        <f>(BalSheet!D11-BalSheet!D10)/BalSheet!D25</f>
        <v>24.279977748608722</v>
      </c>
      <c r="E8" s="176">
        <f>(BalSheet!E11-BalSheet!E10)/BalSheet!E25</f>
        <v>35.59700555157972</v>
      </c>
      <c r="F8" s="176">
        <f>(BalSheet!F11-BalSheet!F10)/BalSheet!F25</f>
        <v>46.80911402262652</v>
      </c>
      <c r="G8" s="176">
        <f>(BalSheet!G11-BalSheet!G10)/BalSheet!G25</f>
        <v>54.76887438954042</v>
      </c>
      <c r="H8" s="176">
        <f>(BalSheet!H11-BalSheet!H10)/BalSheet!H25</f>
        <v>59.87871831876523</v>
      </c>
      <c r="I8" s="176">
        <f>(BalSheet!I11-BalSheet!I10)/BalSheet!I25</f>
        <v>62.18772760453165</v>
      </c>
      <c r="J8" s="176">
        <f>(BalSheet!J11-BalSheet!J10)/BalSheet!J25</f>
        <v>53.73021746900607</v>
      </c>
      <c r="K8" s="176">
        <f>(BalSheet!K11-BalSheet!K10)/BalSheet!K25</f>
        <v>39.61056640362031</v>
      </c>
      <c r="L8" s="176">
        <f>(BalSheet!L11-BalSheet!L10)/BalSheet!L25</f>
        <v>26.06514036508215</v>
      </c>
      <c r="M8" s="21"/>
    </row>
    <row r="9" spans="1:13" s="30" customFormat="1" ht="12.75">
      <c r="A9" s="75" t="s">
        <v>176</v>
      </c>
      <c r="B9" s="176">
        <f>BalSheet!B8/BalSheet!B25</f>
        <v>3238.4891947728397</v>
      </c>
      <c r="C9" s="176">
        <f>BalSheet!C8/BalSheet!C25</f>
        <v>12.190326339899544</v>
      </c>
      <c r="D9" s="176">
        <f>BalSheet!D8/BalSheet!D25</f>
        <v>21.655894534349677</v>
      </c>
      <c r="E9" s="176">
        <f>BalSheet!E8/BalSheet!E25</f>
        <v>33.55356776396968</v>
      </c>
      <c r="F9" s="176">
        <f>BalSheet!F8/BalSheet!F25</f>
        <v>45.03298726748253</v>
      </c>
      <c r="G9" s="176">
        <f>BalSheet!G8/BalSheet!G25</f>
        <v>53.187978964126096</v>
      </c>
      <c r="H9" s="176">
        <f>BalSheet!H8/BalSheet!H25</f>
        <v>58.47994475082953</v>
      </c>
      <c r="I9" s="176">
        <f>BalSheet!I8/BalSheet!I25</f>
        <v>60.94107266664831</v>
      </c>
      <c r="J9" s="176">
        <f>BalSheet!J8/BalSheet!J25</f>
        <v>52.582417351247756</v>
      </c>
      <c r="K9" s="176">
        <f>BalSheet!K8/BalSheet!K25</f>
        <v>38.62541821484407</v>
      </c>
      <c r="L9" s="176">
        <f>BalSheet!L8/BalSheet!L25</f>
        <v>25.208631604343697</v>
      </c>
      <c r="M9" s="21"/>
    </row>
    <row r="10" spans="1:13" s="30" customFormat="1" ht="12.75">
      <c r="A10" s="75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21"/>
    </row>
    <row r="11" spans="1:13" s="30" customFormat="1" ht="12.75">
      <c r="A11" s="75" t="s">
        <v>177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21"/>
    </row>
    <row r="12" spans="1:13" s="30" customFormat="1" ht="12.75">
      <c r="A12" s="75" t="s">
        <v>178</v>
      </c>
      <c r="B12" s="176">
        <f>(BalSheet!B25+BalSheet!B27)/BalSheet!B18</f>
        <v>0.29522276303599193</v>
      </c>
      <c r="C12" s="176">
        <f>(BalSheet!C25+BalSheet!C27)/BalSheet!C18</f>
        <v>0.015583115937776932</v>
      </c>
      <c r="D12" s="176">
        <f>(BalSheet!D25+BalSheet!D27)/BalSheet!D18</f>
        <v>0.013490336814826816</v>
      </c>
      <c r="E12" s="176">
        <f>(BalSheet!E25+BalSheet!E27)/BalSheet!E18</f>
        <v>0.012985873841411083</v>
      </c>
      <c r="F12" s="176">
        <f>(BalSheet!F25+BalSheet!F27)/BalSheet!F18</f>
        <v>0.011908040098701741</v>
      </c>
      <c r="G12" s="176">
        <f>(BalSheet!G25+BalSheet!G27)/BalSheet!G18</f>
        <v>0.011236901058287683</v>
      </c>
      <c r="H12" s="176">
        <f>(BalSheet!H25+BalSheet!H27)/BalSheet!H18</f>
        <v>0.011067827346789221</v>
      </c>
      <c r="I12" s="176">
        <f>(BalSheet!I25+BalSheet!I27)/BalSheet!I18</f>
        <v>0.011092721622333854</v>
      </c>
      <c r="J12" s="176">
        <f>(BalSheet!J25+BalSheet!J27)/BalSheet!J18</f>
        <v>0.011400852188939749</v>
      </c>
      <c r="K12" s="176">
        <f>(BalSheet!K25+BalSheet!K27)/BalSheet!K18</f>
        <v>0.013201506050865078</v>
      </c>
      <c r="L12" s="176">
        <f>(BalSheet!L25+BalSheet!L27)/BalSheet!L18</f>
        <v>0.015556449316429953</v>
      </c>
      <c r="M12" s="21"/>
    </row>
    <row r="13" spans="1:13" s="30" customFormat="1" ht="12.75">
      <c r="A13" s="75" t="s">
        <v>179</v>
      </c>
      <c r="B13" s="176">
        <f>(BalSheet!B25+BalSheet!B27)/BalSheet!B34</f>
        <v>0.41888805079422353</v>
      </c>
      <c r="C13" s="176">
        <f>(BalSheet!C25+BalSheet!C27)/BalSheet!C34</f>
        <v>0.01582979344429037</v>
      </c>
      <c r="D13" s="176">
        <f>(BalSheet!D25+BalSheet!D27)/BalSheet!D34</f>
        <v>0.013674814670613732</v>
      </c>
      <c r="E13" s="176">
        <f>(BalSheet!E25+BalSheet!E27)/BalSheet!E34</f>
        <v>0.013156725417853416</v>
      </c>
      <c r="F13" s="176">
        <f>(BalSheet!F25+BalSheet!F27)/BalSheet!F34</f>
        <v>0.012051550444648139</v>
      </c>
      <c r="G13" s="176">
        <f>(BalSheet!G25+BalSheet!G27)/BalSheet!G34</f>
        <v>0.011364603988877318</v>
      </c>
      <c r="H13" s="176">
        <f>(BalSheet!H25+BalSheet!H27)/BalSheet!H34</f>
        <v>0.011191695095827748</v>
      </c>
      <c r="I13" s="176">
        <f>(BalSheet!I25+BalSheet!I27)/BalSheet!I34</f>
        <v>0.01121715034854614</v>
      </c>
      <c r="J13" s="176">
        <f>(BalSheet!J25+BalSheet!J27)/BalSheet!J34</f>
        <v>0.011532330585337168</v>
      </c>
      <c r="K13" s="176">
        <f>(BalSheet!K25+BalSheet!K27)/BalSheet!K34</f>
        <v>0.013378117347983665</v>
      </c>
      <c r="L13" s="176">
        <f>(BalSheet!L25+BalSheet!L27)/BalSheet!L34</f>
        <v>0.015802276631938915</v>
      </c>
      <c r="M13" s="21"/>
    </row>
    <row r="14" spans="1:13" s="30" customFormat="1" ht="12.75">
      <c r="A14" s="75" t="s">
        <v>180</v>
      </c>
      <c r="B14" s="176">
        <f>BalSheet!B27/BalSheet!B34</f>
        <v>0.4188502409324342</v>
      </c>
      <c r="C14" s="176">
        <f>BalSheet!C27/BalSheet!C34</f>
        <v>0</v>
      </c>
      <c r="D14" s="176">
        <f>BalSheet!D27/BalSheet!D34</f>
        <v>0</v>
      </c>
      <c r="E14" s="176">
        <f>BalSheet!E27/BalSheet!E34</f>
        <v>0</v>
      </c>
      <c r="F14" s="176">
        <f>BalSheet!F27/BalSheet!F34</f>
        <v>0</v>
      </c>
      <c r="G14" s="176">
        <f>BalSheet!G27/BalSheet!G34</f>
        <v>0</v>
      </c>
      <c r="H14" s="176">
        <f>BalSheet!H27/BalSheet!H34</f>
        <v>0</v>
      </c>
      <c r="I14" s="176">
        <f>BalSheet!I27/BalSheet!I34</f>
        <v>0</v>
      </c>
      <c r="J14" s="176">
        <f>BalSheet!J27/BalSheet!J34</f>
        <v>0</v>
      </c>
      <c r="K14" s="176">
        <f>BalSheet!K27/BalSheet!K34</f>
        <v>0</v>
      </c>
      <c r="L14" s="176">
        <f>BalSheet!L27/BalSheet!L34</f>
        <v>0</v>
      </c>
      <c r="M14" s="21"/>
    </row>
    <row r="15" spans="1:13" s="30" customFormat="1" ht="12.75">
      <c r="A15" s="75" t="s">
        <v>181</v>
      </c>
      <c r="B15" s="204">
        <f>IF(ISERR(B32),"     ---",-('P&amp;L'!B46-'P&amp;L'!B44)/'P&amp;L'!B44)</f>
        <v>-5.979462131829573</v>
      </c>
      <c r="C15" s="204">
        <f>IF(ISERR(C32),"     ---",-('P&amp;L'!C46-'P&amp;L'!C44)/'P&amp;L'!C44)</f>
        <v>217.920922574545</v>
      </c>
      <c r="D15" s="204" t="str">
        <f>IF(ISERR(D32),"     ---",-('P&amp;L'!D46-'P&amp;L'!D44)/'P&amp;L'!D44)</f>
        <v>     ---</v>
      </c>
      <c r="E15" s="204" t="str">
        <f>IF(ISERR(E32),"     ---",-('P&amp;L'!E46-'P&amp;L'!E44)/'P&amp;L'!E44)</f>
        <v>     ---</v>
      </c>
      <c r="F15" s="204" t="str">
        <f>IF(ISERR(F32),"     ---",-('P&amp;L'!F46-'P&amp;L'!F44)/'P&amp;L'!F44)</f>
        <v>     ---</v>
      </c>
      <c r="G15" s="204" t="str">
        <f>IF(ISERR(G32),"     ---",-('P&amp;L'!G46-'P&amp;L'!G44)/'P&amp;L'!G44)</f>
        <v>     ---</v>
      </c>
      <c r="H15" s="204" t="str">
        <f>IF(ISERR(H32),"     ---",-('P&amp;L'!H46-'P&amp;L'!H44)/'P&amp;L'!H44)</f>
        <v>     ---</v>
      </c>
      <c r="I15" s="204" t="str">
        <f>IF(ISERR(I32),"     ---",-('P&amp;L'!I46-'P&amp;L'!I44)/'P&amp;L'!I44)</f>
        <v>     ---</v>
      </c>
      <c r="J15" s="204" t="str">
        <f>IF(ISERR(J32),"     ---",-('P&amp;L'!J46-'P&amp;L'!J44)/'P&amp;L'!J44)</f>
        <v>     ---</v>
      </c>
      <c r="K15" s="204" t="str">
        <f>IF(ISERR(K32),"     ---",-('P&amp;L'!K46-'P&amp;L'!K44)/'P&amp;L'!K44)</f>
        <v>     ---</v>
      </c>
      <c r="L15" s="204" t="str">
        <f>IF(ISERR(L32),"     ---",-('P&amp;L'!L46-'P&amp;L'!L44)/'P&amp;L'!L44)</f>
        <v>     ---</v>
      </c>
      <c r="M15" s="21"/>
    </row>
    <row r="16" spans="1:13" s="30" customFormat="1" ht="12.75">
      <c r="A16" s="75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1"/>
    </row>
    <row r="17" spans="1:13" s="30" customFormat="1" ht="12.75">
      <c r="A17" s="75" t="s">
        <v>182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21"/>
    </row>
    <row r="18" spans="1:13" s="30" customFormat="1" ht="12.75">
      <c r="A18" s="81" t="s">
        <v>183</v>
      </c>
      <c r="B18" s="205" t="str">
        <f>IF(ISERR(B31),"     ---",('P&amp;L'!B13-'P&amp;L'!B36+'P&amp;L'!B33)/'P&amp;L'!B13)</f>
        <v>     ---</v>
      </c>
      <c r="C18" s="206">
        <f>IF(ISERR(C31),"     ---",('P&amp;L'!C13-'P&amp;L'!C36+'P&amp;L'!C33)/'P&amp;L'!C13)</f>
        <v>0.8596061725485079</v>
      </c>
      <c r="D18" s="206">
        <f>IF(ISERR(D31),"     ---",('P&amp;L'!D13-'P&amp;L'!D36+'P&amp;L'!D33)/'P&amp;L'!D13)</f>
        <v>0.8094572621466259</v>
      </c>
      <c r="E18" s="206">
        <f>IF(ISERR(E31),"     ---",('P&amp;L'!E13-'P&amp;L'!E36+'P&amp;L'!E33)/'P&amp;L'!E13)</f>
        <v>0.7553143026757915</v>
      </c>
      <c r="F18" s="206">
        <f>IF(ISERR(F31),"     ---",('P&amp;L'!F13-'P&amp;L'!F36+'P&amp;L'!F33)/'P&amp;L'!F13)</f>
        <v>0.7184885602607411</v>
      </c>
      <c r="G18" s="206">
        <f>IF(ISERR(G31),"     ---",('P&amp;L'!G13-'P&amp;L'!G36+'P&amp;L'!G33)/'P&amp;L'!G13)</f>
        <v>0.6837235455539635</v>
      </c>
      <c r="H18" s="206">
        <f>IF(ISERR(H31),"     ---",('P&amp;L'!H13-'P&amp;L'!H36+'P&amp;L'!H33)/'P&amp;L'!H13)</f>
        <v>0.6425440032171214</v>
      </c>
      <c r="I18" s="206">
        <f>IF(ISERR(I31),"     ---",('P&amp;L'!I13-'P&amp;L'!I36+'P&amp;L'!I33)/'P&amp;L'!I13)</f>
        <v>0.5989267079397793</v>
      </c>
      <c r="J18" s="206">
        <f>IF(ISERR(J31),"     ---",('P&amp;L'!J13-'P&amp;L'!J36+'P&amp;L'!J33)/'P&amp;L'!J13)</f>
        <v>0.5643840837231193</v>
      </c>
      <c r="K18" s="206">
        <f>IF(ISERR(K31),"     ---",('P&amp;L'!K13-'P&amp;L'!K36+'P&amp;L'!K33)/'P&amp;L'!K13)</f>
        <v>0.4924621435673548</v>
      </c>
      <c r="L18" s="206">
        <f>IF(ISERR(L31),"     ---",('P&amp;L'!L13-'P&amp;L'!L36+'P&amp;L'!L33)/'P&amp;L'!L13)</f>
        <v>0.41623480935686324</v>
      </c>
      <c r="M18" s="21"/>
    </row>
    <row r="19" spans="1:13" s="30" customFormat="1" ht="12.75">
      <c r="A19" s="75" t="s">
        <v>184</v>
      </c>
      <c r="B19" s="205" t="str">
        <f>IF(ISERR(B31),"     ---",'P&amp;L'!B41/'P&amp;L'!B13)</f>
        <v>     ---</v>
      </c>
      <c r="C19" s="206">
        <f>IF(ISERR(C31),"     ---",'P&amp;L'!C41/'P&amp;L'!C13)</f>
        <v>0.7910402503221847</v>
      </c>
      <c r="D19" s="206">
        <f>IF(ISERR(D31),"     ---",'P&amp;L'!D41/'P&amp;L'!D13)</f>
        <v>0.6938448998034635</v>
      </c>
      <c r="E19" s="206">
        <f>IF(ISERR(E31),"     ---",'P&amp;L'!E41/'P&amp;L'!E13)</f>
        <v>0.5997862659792694</v>
      </c>
      <c r="F19" s="206">
        <f>IF(ISERR(F31),"     ---",'P&amp;L'!F41/'P&amp;L'!F13)</f>
        <v>0.5303975246382155</v>
      </c>
      <c r="G19" s="206">
        <f>IF(ISERR(G31),"     ---",'P&amp;L'!G41/'P&amp;L'!G13)</f>
        <v>0.46124565831782893</v>
      </c>
      <c r="H19" s="206">
        <f>IF(ISERR(H31),"     ---",'P&amp;L'!H41/'P&amp;L'!H13)</f>
        <v>0.38148221588371106</v>
      </c>
      <c r="I19" s="206">
        <f>IF(ISERR(I31),"     ---",'P&amp;L'!I41/'P&amp;L'!I13)</f>
        <v>0.31632773627956334</v>
      </c>
      <c r="J19" s="206">
        <f>IF(ISERR(J31),"     ---",'P&amp;L'!J41/'P&amp;L'!J13)</f>
        <v>0.27067656493036185</v>
      </c>
      <c r="K19" s="206">
        <f>IF(ISERR(K31),"     ---",'P&amp;L'!K41/'P&amp;L'!K13)</f>
        <v>0.17214770668801255</v>
      </c>
      <c r="L19" s="206">
        <f>IF(ISERR(L31),"     ---",'P&amp;L'!L41/'P&amp;L'!L13)</f>
        <v>0.049939325870338454</v>
      </c>
      <c r="M19" s="21"/>
    </row>
    <row r="20" spans="1:13" s="30" customFormat="1" ht="12.75">
      <c r="A20" s="75" t="s">
        <v>185</v>
      </c>
      <c r="B20" s="205" t="str">
        <f>IF(ISERR(B31),"     ---",'P&amp;L'!B68/'P&amp;L'!B13)</f>
        <v>     ---</v>
      </c>
      <c r="C20" s="206">
        <f>IF(ISERR(C31),"     ---",'P&amp;L'!C68/'P&amp;L'!C13)</f>
        <v>0.521909209635247</v>
      </c>
      <c r="D20" s="206">
        <f>IF(ISERR(D31),"     ---",'P&amp;L'!D68/'P&amp;L'!D13)</f>
        <v>0.4571801784685888</v>
      </c>
      <c r="E20" s="206">
        <f>IF(ISERR(E31),"     ---",'P&amp;L'!E68/'P&amp;L'!E13)</f>
        <v>0.40528292348756306</v>
      </c>
      <c r="F20" s="206">
        <f>IF(ISERR(F31),"     ---",'P&amp;L'!F68/'P&amp;L'!F13)</f>
        <v>0.3762993379052606</v>
      </c>
      <c r="G20" s="206">
        <f>IF(ISERR(G31),"     ---",'P&amp;L'!G68/'P&amp;L'!G13)</f>
        <v>0.34847318337639366</v>
      </c>
      <c r="H20" s="206">
        <f>IF(ISERR(H31),"     ---",'P&amp;L'!H68/'P&amp;L'!H13)</f>
        <v>0.3125691574603794</v>
      </c>
      <c r="I20" s="206">
        <f>IF(ISERR(I31),"     ---",'P&amp;L'!I68/'P&amp;L'!I13)</f>
        <v>0.28583191424034143</v>
      </c>
      <c r="J20" s="206">
        <f>IF(ISERR(J31),"     ---",'P&amp;L'!J68/'P&amp;L'!J13)</f>
        <v>0.26558526563630075</v>
      </c>
      <c r="K20" s="206">
        <f>IF(ISERR(K31),"     ---",'P&amp;L'!K68/'P&amp;L'!K13)</f>
        <v>0.19377851277720148</v>
      </c>
      <c r="L20" s="206">
        <f>IF(ISERR(L31),"     ---",'P&amp;L'!L68/'P&amp;L'!L13)</f>
        <v>0.10243195412593109</v>
      </c>
      <c r="M20" s="21"/>
    </row>
    <row r="21" spans="1:13" s="30" customFormat="1" ht="12.75">
      <c r="A21" s="75" t="s">
        <v>186</v>
      </c>
      <c r="B21" s="206">
        <f>('P&amp;L'!B$68-'P&amp;L'!B44)/BalSheet!B18</f>
        <v>-0.07060455976526939</v>
      </c>
      <c r="C21" s="206">
        <f>('P&amp;L'!C$68-'P&amp;L'!C44)/BalSheet!C18</f>
        <v>0.7000026239095964</v>
      </c>
      <c r="D21" s="206">
        <f>('P&amp;L'!D$68-'P&amp;L'!D44)/BalSheet!D18</f>
        <v>0.3884177163875902</v>
      </c>
      <c r="E21" s="206">
        <f>('P&amp;L'!E$68-'P&amp;L'!E44)/BalSheet!E18</f>
        <v>0.2581084046370398</v>
      </c>
      <c r="F21" s="206">
        <f>('P&amp;L'!F$68-'P&amp;L'!F44)/BalSheet!F18</f>
        <v>0.19101124738836048</v>
      </c>
      <c r="G21" s="206">
        <f>('P&amp;L'!G$68-'P&amp;L'!G44)/BalSheet!G18</f>
        <v>0.1485697197380915</v>
      </c>
      <c r="H21" s="206">
        <f>('P&amp;L'!H$68-'P&amp;L'!H44)/BalSheet!H18</f>
        <v>0.11613607828112578</v>
      </c>
      <c r="I21" s="206">
        <f>('P&amp;L'!I$68-'P&amp;L'!I44)/BalSheet!I18</f>
        <v>0.09486507084508158</v>
      </c>
      <c r="J21" s="206">
        <f>('P&amp;L'!J$68-'P&amp;L'!J44)/BalSheet!J18</f>
        <v>0.0834101301795927</v>
      </c>
      <c r="K21" s="206">
        <f>('P&amp;L'!K$68-'P&amp;L'!K44)/BalSheet!K18</f>
        <v>0.0604841946633083</v>
      </c>
      <c r="L21" s="206">
        <f>('P&amp;L'!L$68-'P&amp;L'!L44)/BalSheet!L18</f>
        <v>0.032755858587334756</v>
      </c>
      <c r="M21" s="21"/>
    </row>
    <row r="22" spans="1:13" s="30" customFormat="1" ht="12.75">
      <c r="A22" s="75" t="s">
        <v>187</v>
      </c>
      <c r="B22" s="206">
        <f>'P&amp;L'!B$68/BalSheet!B18</f>
        <v>-0.08241240438551219</v>
      </c>
      <c r="C22" s="206">
        <f>'P&amp;L'!C$68/BalSheet!C18</f>
        <v>0.6951563501365154</v>
      </c>
      <c r="D22" s="206">
        <f>'P&amp;L'!D$68/BalSheet!D18</f>
        <v>0.3884177163875902</v>
      </c>
      <c r="E22" s="206">
        <f>'P&amp;L'!E$68/BalSheet!E18</f>
        <v>0.2581084046370398</v>
      </c>
      <c r="F22" s="206">
        <f>'P&amp;L'!F$68/BalSheet!F18</f>
        <v>0.19101124738836048</v>
      </c>
      <c r="G22" s="206">
        <f>'P&amp;L'!G$68/BalSheet!G18</f>
        <v>0.1485697197380915</v>
      </c>
      <c r="H22" s="206">
        <f>'P&amp;L'!H$68/BalSheet!H18</f>
        <v>0.11613607828112578</v>
      </c>
      <c r="I22" s="206">
        <f>'P&amp;L'!I$68/BalSheet!I18</f>
        <v>0.09486507084508158</v>
      </c>
      <c r="J22" s="206">
        <f>'P&amp;L'!J$68/BalSheet!J18</f>
        <v>0.0834101301795927</v>
      </c>
      <c r="K22" s="206">
        <f>'P&amp;L'!K$68/BalSheet!K18</f>
        <v>0.0604841946633083</v>
      </c>
      <c r="L22" s="206">
        <f>'P&amp;L'!L$68/BalSheet!L18</f>
        <v>0.032755858587334756</v>
      </c>
      <c r="M22" s="21"/>
    </row>
    <row r="23" spans="1:13" s="30" customFormat="1" ht="12.75">
      <c r="A23" s="75" t="s">
        <v>188</v>
      </c>
      <c r="B23" s="206">
        <f>'P&amp;L'!B$68/BalSheet!B34</f>
        <v>-0.11693397581982472</v>
      </c>
      <c r="C23" s="206">
        <f>'P&amp;L'!C$68/BalSheet!C34</f>
        <v>0.7061605315706633</v>
      </c>
      <c r="D23" s="206">
        <f>'P&amp;L'!D$68/BalSheet!D34</f>
        <v>0.3937292566739735</v>
      </c>
      <c r="E23" s="206">
        <f>'P&amp;L'!E$68/BalSheet!E34</f>
        <v>0.2615042660448896</v>
      </c>
      <c r="F23" s="206">
        <f>'P&amp;L'!F$68/BalSheet!F34</f>
        <v>0.19331322907175646</v>
      </c>
      <c r="G23" s="206">
        <f>'P&amp;L'!G$68/BalSheet!G34</f>
        <v>0.1502581557676534</v>
      </c>
      <c r="H23" s="206">
        <f>'P&amp;L'!H$68/BalSheet!H34</f>
        <v>0.11743583785887331</v>
      </c>
      <c r="I23" s="206">
        <f>'P&amp;L'!I$68/BalSheet!I34</f>
        <v>0.09592918660757634</v>
      </c>
      <c r="J23" s="206">
        <f>'P&amp;L'!J$68/BalSheet!J34</f>
        <v>0.08437204337498977</v>
      </c>
      <c r="K23" s="206">
        <f>'P&amp;L'!K$68/BalSheet!K34</f>
        <v>0.06129335931721232</v>
      </c>
      <c r="L23" s="206">
        <f>'P&amp;L'!L$68/BalSheet!L34</f>
        <v>0.03327347572604849</v>
      </c>
      <c r="M23" s="21"/>
    </row>
    <row r="24" spans="1:13" s="30" customFormat="1" ht="12.75">
      <c r="A24" s="75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21"/>
    </row>
    <row r="25" spans="1:13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3"/>
    </row>
    <row r="26" spans="1:13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3"/>
    </row>
    <row r="27" spans="1:13" ht="12.75">
      <c r="A27" s="207"/>
      <c r="B27" s="208"/>
      <c r="C27" s="178"/>
      <c r="D27" s="178"/>
      <c r="E27" s="178"/>
      <c r="F27" s="209"/>
      <c r="G27" s="178"/>
      <c r="H27" s="178"/>
      <c r="I27" s="178"/>
      <c r="J27" s="178"/>
      <c r="K27" s="178"/>
      <c r="L27" s="178"/>
      <c r="M27" s="4"/>
    </row>
    <row r="28" spans="1:13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</row>
    <row r="29" spans="1:13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4"/>
    </row>
    <row r="31" spans="1:13" ht="12.75">
      <c r="A31" s="5" t="s">
        <v>194</v>
      </c>
      <c r="B31" s="10" t="e">
        <f>1/'P&amp;L'!B13</f>
        <v>#DIV/0!</v>
      </c>
      <c r="C31" s="10">
        <f>1/'P&amp;L'!C13</f>
        <v>0.006064139177917956</v>
      </c>
      <c r="D31" s="10">
        <f>1/'P&amp;L'!D13</f>
        <v>0.005776090075117092</v>
      </c>
      <c r="E31" s="10">
        <f>1/'P&amp;L'!E13</f>
        <v>0.005693400947390271</v>
      </c>
      <c r="F31" s="10">
        <f>1/'P&amp;L'!F13</f>
        <v>0.005768581807527479</v>
      </c>
      <c r="G31" s="10">
        <f>1/'P&amp;L'!G13</f>
        <v>0.005840035548118799</v>
      </c>
      <c r="H31" s="10">
        <f>1/'P&amp;L'!H13</f>
        <v>0.005915288648283493</v>
      </c>
      <c r="I31" s="10">
        <f>1/'P&amp;L'!I13</f>
        <v>0.0059867741526829655</v>
      </c>
      <c r="J31" s="10">
        <f>1/'P&amp;L'!J13</f>
        <v>0.0057910507855677695</v>
      </c>
      <c r="K31" s="10">
        <f>1/'P&amp;L'!K13</f>
        <v>0.005459766227437904</v>
      </c>
      <c r="L31" s="10">
        <f>1/'P&amp;L'!L13</f>
        <v>0.005139522563023811</v>
      </c>
      <c r="M31" s="4"/>
    </row>
    <row r="32" spans="1:13" ht="12.75">
      <c r="A32" s="5" t="s">
        <v>195</v>
      </c>
      <c r="B32" s="7">
        <f>1/'P&amp;L'!B44</f>
        <v>-1.6666666666666667</v>
      </c>
      <c r="C32" s="10">
        <f>1/'P&amp;L'!C44</f>
        <v>-1.6666666666666667</v>
      </c>
      <c r="D32" s="10" t="e">
        <f>1/'P&amp;L'!D44</f>
        <v>#DIV/0!</v>
      </c>
      <c r="E32" s="10" t="e">
        <f>1/'P&amp;L'!E44</f>
        <v>#DIV/0!</v>
      </c>
      <c r="F32" s="10" t="e">
        <f>1/'P&amp;L'!F44</f>
        <v>#DIV/0!</v>
      </c>
      <c r="G32" s="10" t="e">
        <f>1/'P&amp;L'!G44</f>
        <v>#DIV/0!</v>
      </c>
      <c r="H32" s="10" t="e">
        <f>1/'P&amp;L'!H44</f>
        <v>#DIV/0!</v>
      </c>
      <c r="I32" s="10" t="e">
        <f>1/'P&amp;L'!I44</f>
        <v>#DIV/0!</v>
      </c>
      <c r="J32" s="10" t="e">
        <f>1/'P&amp;L'!J44</f>
        <v>#DIV/0!</v>
      </c>
      <c r="K32" s="10" t="e">
        <f>1/'P&amp;L'!K44</f>
        <v>#DIV/0!</v>
      </c>
      <c r="L32" s="10" t="e">
        <f>1/'P&amp;L'!L44</f>
        <v>#DIV/0!</v>
      </c>
      <c r="M32" s="4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2"/>
    </row>
    <row r="37" ht="12">
      <c r="M37" s="2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P67"/>
  <sheetViews>
    <sheetView workbookViewId="0" topLeftCell="A10">
      <selection activeCell="A1" sqref="A1"/>
    </sheetView>
  </sheetViews>
  <sheetFormatPr defaultColWidth="9.00390625" defaultRowHeight="12.75"/>
  <cols>
    <col min="1" max="1" width="21.75390625" style="0" customWidth="1"/>
    <col min="2" max="11" width="8.125" style="0" customWidth="1"/>
  </cols>
  <sheetData>
    <row r="1" spans="1:16" ht="12.75">
      <c r="A1" s="210" t="s">
        <v>232</v>
      </c>
      <c r="B1" s="139"/>
      <c r="C1" s="139"/>
      <c r="D1" s="148"/>
      <c r="E1" s="139"/>
      <c r="F1" s="235" t="s">
        <v>311</v>
      </c>
      <c r="G1" s="236"/>
      <c r="H1" s="236"/>
      <c r="I1" s="237"/>
      <c r="J1" s="139"/>
      <c r="K1" s="139"/>
      <c r="L1" s="140"/>
      <c r="M1" s="12"/>
      <c r="N1" s="12"/>
      <c r="O1" s="12"/>
      <c r="P1" s="12"/>
    </row>
    <row r="2" spans="1:16" ht="12.75">
      <c r="A2" s="141" t="s">
        <v>315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42"/>
      <c r="M2" s="12"/>
      <c r="N2" s="12"/>
      <c r="O2" s="12"/>
      <c r="P2" s="12"/>
    </row>
    <row r="3" spans="1:16" ht="12.75">
      <c r="A3" s="251"/>
      <c r="B3" s="68"/>
      <c r="C3" s="68"/>
      <c r="D3" s="68"/>
      <c r="E3" s="68"/>
      <c r="F3" s="68"/>
      <c r="G3" s="68"/>
      <c r="H3" s="68"/>
      <c r="I3" s="68"/>
      <c r="J3" s="68"/>
      <c r="K3" s="68"/>
      <c r="L3" s="142"/>
      <c r="M3" s="12"/>
      <c r="N3" s="12"/>
      <c r="O3" s="12"/>
      <c r="P3" s="12"/>
    </row>
    <row r="4" spans="1:12" ht="12.75">
      <c r="A4" s="36" t="s">
        <v>35</v>
      </c>
      <c r="B4" s="37">
        <v>0</v>
      </c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8">
        <v>10</v>
      </c>
    </row>
    <row r="5" spans="1:12" ht="12.75">
      <c r="A5" s="39"/>
      <c r="B5" s="37">
        <f>C5-1</f>
        <v>1998</v>
      </c>
      <c r="C5" s="37">
        <f>Assumptions!B7</f>
        <v>1999</v>
      </c>
      <c r="D5" s="37">
        <f>C5+1</f>
        <v>2000</v>
      </c>
      <c r="E5" s="37">
        <f aca="true" t="shared" si="0" ref="E5:L5">D5+1</f>
        <v>2001</v>
      </c>
      <c r="F5" s="37">
        <f t="shared" si="0"/>
        <v>2002</v>
      </c>
      <c r="G5" s="37">
        <f t="shared" si="0"/>
        <v>2003</v>
      </c>
      <c r="H5" s="37">
        <f t="shared" si="0"/>
        <v>2004</v>
      </c>
      <c r="I5" s="37">
        <f t="shared" si="0"/>
        <v>2005</v>
      </c>
      <c r="J5" s="37">
        <f t="shared" si="0"/>
        <v>2006</v>
      </c>
      <c r="K5" s="37">
        <f t="shared" si="0"/>
        <v>2007</v>
      </c>
      <c r="L5" s="38">
        <f t="shared" si="0"/>
        <v>2008</v>
      </c>
    </row>
    <row r="6" spans="1:12" ht="12.75">
      <c r="A6" s="211" t="s">
        <v>242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212"/>
    </row>
    <row r="7" spans="1:12" ht="12.75">
      <c r="A7" s="141" t="s">
        <v>243</v>
      </c>
      <c r="B7" s="98">
        <f>'P&amp;L'!B38</f>
        <v>-0.016248707669172933</v>
      </c>
      <c r="C7" s="98">
        <f>'P&amp;L'!C38</f>
        <v>141.75238188442148</v>
      </c>
      <c r="D7" s="98">
        <f>'P&amp;L'!D38</f>
        <v>140.13930732030988</v>
      </c>
      <c r="E7" s="98">
        <f>'P&amp;L'!E38</f>
        <v>132.6648710771039</v>
      </c>
      <c r="F7" s="98">
        <f>'P&amp;L'!F38</f>
        <v>124.55202755782683</v>
      </c>
      <c r="G7" s="98">
        <f>'P&amp;L'!G38</f>
        <v>117.07523694341305</v>
      </c>
      <c r="H7" s="98">
        <f>'P&amp;L'!H38</f>
        <v>108.62428554582465</v>
      </c>
      <c r="I7" s="98">
        <f>'P&amp;L'!I38</f>
        <v>100.04164056721115</v>
      </c>
      <c r="J7" s="98">
        <f>'P&amp;L'!J38</f>
        <v>97.45797517950547</v>
      </c>
      <c r="K7" s="98">
        <f>'P&amp;L'!K38</f>
        <v>90.19839367709554</v>
      </c>
      <c r="L7" s="212">
        <f>'P&amp;L'!L38</f>
        <v>80.98705750441802</v>
      </c>
    </row>
    <row r="8" spans="1:12" ht="12.75">
      <c r="A8" s="141" t="s">
        <v>329</v>
      </c>
      <c r="B8" s="98">
        <f>'P&amp;L'!B43</f>
        <v>0</v>
      </c>
      <c r="C8" s="98">
        <f>'P&amp;L'!C43</f>
        <v>0.3069573745912282</v>
      </c>
      <c r="D8" s="98">
        <f>'P&amp;L'!D43</f>
        <v>1.6463075876200826</v>
      </c>
      <c r="E8" s="98">
        <f>'P&amp;L'!E43</f>
        <v>4.167267371617699</v>
      </c>
      <c r="F8" s="98">
        <f>'P&amp;L'!F43</f>
        <v>8.411865393717687</v>
      </c>
      <c r="G8" s="98">
        <f>'P&amp;L'!G43</f>
        <v>12.819602016998633</v>
      </c>
      <c r="H8" s="98">
        <f>'P&amp;L'!H43</f>
        <v>16.80279981049667</v>
      </c>
      <c r="I8" s="98">
        <f>'P&amp;L'!I43</f>
        <v>20.61438549318437</v>
      </c>
      <c r="J8" s="98">
        <f>'P&amp;L'!J43</f>
        <v>23.81539318855344</v>
      </c>
      <c r="K8" s="98">
        <f>'P&amp;L'!K43</f>
        <v>23.07298095785044</v>
      </c>
      <c r="L8" s="212">
        <f>'P&amp;L'!L43</f>
        <v>20.94519374938378</v>
      </c>
    </row>
    <row r="9" spans="1:12" ht="12.75">
      <c r="A9" s="141" t="s">
        <v>332</v>
      </c>
      <c r="B9" s="98">
        <f>'P&amp;L'!B44</f>
        <v>-0.6</v>
      </c>
      <c r="C9" s="98">
        <f>'P&amp;L'!C44</f>
        <v>-0.6</v>
      </c>
      <c r="D9" s="98">
        <f>'P&amp;L'!D44</f>
        <v>0</v>
      </c>
      <c r="E9" s="98">
        <f>'P&amp;L'!E44</f>
        <v>0</v>
      </c>
      <c r="F9" s="98">
        <f>'P&amp;L'!F44</f>
        <v>0</v>
      </c>
      <c r="G9" s="98">
        <f>'P&amp;L'!G44</f>
        <v>0</v>
      </c>
      <c r="H9" s="98">
        <f>'P&amp;L'!H44</f>
        <v>0</v>
      </c>
      <c r="I9" s="98">
        <f>'P&amp;L'!I44</f>
        <v>0</v>
      </c>
      <c r="J9" s="98">
        <f>'P&amp;L'!J44</f>
        <v>0</v>
      </c>
      <c r="K9" s="98">
        <f>'P&amp;L'!K44</f>
        <v>0</v>
      </c>
      <c r="L9" s="212">
        <f>'P&amp;L'!L44</f>
        <v>0</v>
      </c>
    </row>
    <row r="10" spans="1:12" ht="12.75">
      <c r="A10" s="141" t="s">
        <v>322</v>
      </c>
      <c r="B10" s="98">
        <f>-CapEx!B46</f>
        <v>-50</v>
      </c>
      <c r="C10" s="98">
        <f>-CapEx!C46</f>
        <v>-58.295</v>
      </c>
      <c r="D10" s="98">
        <f>-CapEx!D46</f>
        <v>-63.6295</v>
      </c>
      <c r="E10" s="98">
        <f>-CapEx!E46</f>
        <v>-38.59245</v>
      </c>
      <c r="F10" s="98">
        <f>-CapEx!F46</f>
        <v>-35.451695</v>
      </c>
      <c r="G10" s="98">
        <f>-CapEx!G46</f>
        <v>-41.39686450000001</v>
      </c>
      <c r="H10" s="98">
        <f>-CapEx!H46</f>
        <v>-43.13655095</v>
      </c>
      <c r="I10" s="98">
        <f>-CapEx!I46</f>
        <v>-49.85020604500001</v>
      </c>
      <c r="J10" s="98">
        <f>-CapEx!J46</f>
        <v>-107.6352266495</v>
      </c>
      <c r="K10" s="98">
        <f>-CapEx!K46</f>
        <v>-125.59874931445</v>
      </c>
      <c r="L10" s="212">
        <f>-CapEx!L46</f>
        <v>-153.05362424589498</v>
      </c>
    </row>
    <row r="11" spans="1:12" ht="12.75">
      <c r="A11" s="141" t="s">
        <v>323</v>
      </c>
      <c r="B11" s="98">
        <f>-'P&amp;L'!B54</f>
        <v>0</v>
      </c>
      <c r="C11" s="98">
        <f>-'P&amp;L'!C54</f>
        <v>-44.08770669297024</v>
      </c>
      <c r="D11" s="98">
        <f>-'P&amp;L'!D54</f>
        <v>-42.61947771777549</v>
      </c>
      <c r="E11" s="98">
        <f>-'P&amp;L'!E54</f>
        <v>-38.330212207052554</v>
      </c>
      <c r="F11" s="98">
        <f>-'P&amp;L'!F54</f>
        <v>-35.12522265804058</v>
      </c>
      <c r="G11" s="98">
        <f>-'P&amp;L'!G54</f>
        <v>-32.129839773644086</v>
      </c>
      <c r="H11" s="98">
        <f>-'P&amp;L'!H54</f>
        <v>-28.452790625962454</v>
      </c>
      <c r="I11" s="98">
        <f>-'P&amp;L'!I54</f>
        <v>-25.708250947513434</v>
      </c>
      <c r="J11" s="98">
        <f>-'P&amp;L'!J54</f>
        <v>-24.694559937833116</v>
      </c>
      <c r="K11" s="98">
        <f>-'P&amp;L'!K54</f>
        <v>-19.11112523214484</v>
      </c>
      <c r="L11" s="212">
        <f>-'P&amp;L'!L54</f>
        <v>-10.731671459735754</v>
      </c>
    </row>
    <row r="12" spans="1:12" ht="12.75">
      <c r="A12" s="141" t="s">
        <v>244</v>
      </c>
      <c r="B12" s="253">
        <f>CashFlow!B47</f>
        <v>0.0013540589724310777</v>
      </c>
      <c r="C12" s="253">
        <f>CashFlow!C47</f>
        <v>-4.943058094201688</v>
      </c>
      <c r="D12" s="253">
        <f>CashFlow!D47</f>
        <v>0.47707400981146164</v>
      </c>
      <c r="E12" s="253">
        <f>CashFlow!E47</f>
        <v>0.7276383597593594</v>
      </c>
      <c r="F12" s="253">
        <f>CashFlow!F47</f>
        <v>0.5806907533667123</v>
      </c>
      <c r="G12" s="253">
        <f>CashFlow!G47</f>
        <v>0.5346909346329296</v>
      </c>
      <c r="H12" s="253">
        <f>CashFlow!H47</f>
        <v>0.6134802580368985</v>
      </c>
      <c r="I12" s="253">
        <f>CashFlow!I47</f>
        <v>0.631112294533219</v>
      </c>
      <c r="J12" s="253">
        <f>CashFlow!J47</f>
        <v>0.450529209231334</v>
      </c>
      <c r="K12" s="253">
        <f>CashFlow!K47</f>
        <v>1.0415397906965103</v>
      </c>
      <c r="L12" s="254">
        <f>CashFlow!L47</f>
        <v>1.243135390583518</v>
      </c>
    </row>
    <row r="13" spans="1:12" ht="12.75">
      <c r="A13" s="211" t="s">
        <v>333</v>
      </c>
      <c r="B13" s="98">
        <f>SUM(B7:B12)</f>
        <v>-50.61489464869674</v>
      </c>
      <c r="C13" s="98">
        <f aca="true" t="shared" si="1" ref="C13:L13">SUM(C7:C12)</f>
        <v>34.133574471840795</v>
      </c>
      <c r="D13" s="98">
        <f t="shared" si="1"/>
        <v>36.01371119996592</v>
      </c>
      <c r="E13" s="98">
        <f t="shared" si="1"/>
        <v>60.6371146014284</v>
      </c>
      <c r="F13" s="98">
        <f t="shared" si="1"/>
        <v>62.967666046870654</v>
      </c>
      <c r="G13" s="98">
        <f t="shared" si="1"/>
        <v>56.90282562140051</v>
      </c>
      <c r="H13" s="98">
        <f t="shared" si="1"/>
        <v>54.451224038395765</v>
      </c>
      <c r="I13" s="98">
        <f t="shared" si="1"/>
        <v>45.728681362415294</v>
      </c>
      <c r="J13" s="98">
        <f t="shared" si="1"/>
        <v>-10.605889010042869</v>
      </c>
      <c r="K13" s="98">
        <f t="shared" si="1"/>
        <v>-30.39696012095236</v>
      </c>
      <c r="L13" s="212">
        <f t="shared" si="1"/>
        <v>-60.60990906124542</v>
      </c>
    </row>
    <row r="14" spans="1:12" ht="12.75">
      <c r="A14" s="141" t="s">
        <v>334</v>
      </c>
      <c r="B14" s="253">
        <f>-B9*(1-'P&amp;L'!B53)</f>
        <v>0.39</v>
      </c>
      <c r="C14" s="253">
        <f>-C9*(1-'P&amp;L'!C53)</f>
        <v>0.39</v>
      </c>
      <c r="D14" s="253">
        <f>-D9*(1-'P&amp;L'!D53)</f>
        <v>0</v>
      </c>
      <c r="E14" s="253">
        <f>-E9*(1-'P&amp;L'!E53)</f>
        <v>0</v>
      </c>
      <c r="F14" s="253">
        <f>-F9*(1-'P&amp;L'!F53)</f>
        <v>0</v>
      </c>
      <c r="G14" s="253">
        <f>-G9*(1-'P&amp;L'!G53)</f>
        <v>0</v>
      </c>
      <c r="H14" s="253">
        <f>-H9*(1-'P&amp;L'!H53)</f>
        <v>0</v>
      </c>
      <c r="I14" s="253">
        <f>-I9*(1-'P&amp;L'!I53)</f>
        <v>0</v>
      </c>
      <c r="J14" s="253">
        <f>-J9*(1-'P&amp;L'!J53)</f>
        <v>0</v>
      </c>
      <c r="K14" s="253">
        <f>-K9*(1-'P&amp;L'!K53)</f>
        <v>0</v>
      </c>
      <c r="L14" s="254">
        <f>-L9*(1-'P&amp;L'!L53)</f>
        <v>0</v>
      </c>
    </row>
    <row r="15" spans="1:12" ht="12.75">
      <c r="A15" s="211" t="s">
        <v>335</v>
      </c>
      <c r="B15" s="99">
        <f>SUM(B13:B14)</f>
        <v>-50.22489464869674</v>
      </c>
      <c r="C15" s="99">
        <f aca="true" t="shared" si="2" ref="C15:L15">SUM(C13:C14)</f>
        <v>34.523574471840796</v>
      </c>
      <c r="D15" s="99">
        <f t="shared" si="2"/>
        <v>36.01371119996592</v>
      </c>
      <c r="E15" s="99">
        <f t="shared" si="2"/>
        <v>60.6371146014284</v>
      </c>
      <c r="F15" s="99">
        <f t="shared" si="2"/>
        <v>62.967666046870654</v>
      </c>
      <c r="G15" s="99">
        <f t="shared" si="2"/>
        <v>56.90282562140051</v>
      </c>
      <c r="H15" s="99">
        <f t="shared" si="2"/>
        <v>54.451224038395765</v>
      </c>
      <c r="I15" s="99">
        <f t="shared" si="2"/>
        <v>45.728681362415294</v>
      </c>
      <c r="J15" s="99">
        <f t="shared" si="2"/>
        <v>-10.605889010042869</v>
      </c>
      <c r="K15" s="99">
        <f t="shared" si="2"/>
        <v>-30.39696012095236</v>
      </c>
      <c r="L15" s="213">
        <f t="shared" si="2"/>
        <v>-60.60990906124542</v>
      </c>
    </row>
    <row r="16" spans="1:12" ht="12.75">
      <c r="A16" s="141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212"/>
    </row>
    <row r="17" spans="1:16" ht="12.75">
      <c r="A17" s="211" t="s">
        <v>245</v>
      </c>
      <c r="B17" s="68"/>
      <c r="C17" s="68"/>
      <c r="D17" s="68"/>
      <c r="E17" s="67" t="s">
        <v>301</v>
      </c>
      <c r="F17" s="234" t="s">
        <v>302</v>
      </c>
      <c r="G17" s="234" t="s">
        <v>313</v>
      </c>
      <c r="H17" s="67"/>
      <c r="I17" s="67"/>
      <c r="J17" s="67"/>
      <c r="K17" s="67"/>
      <c r="L17" s="214"/>
      <c r="M17" s="65"/>
      <c r="N17" s="65"/>
      <c r="O17" s="65"/>
      <c r="P17" s="65"/>
    </row>
    <row r="18" spans="1:16" ht="12.75">
      <c r="A18" s="211"/>
      <c r="B18" s="68" t="s">
        <v>246</v>
      </c>
      <c r="C18" s="68"/>
      <c r="D18" s="68"/>
      <c r="E18" s="68"/>
      <c r="F18" s="66">
        <v>0.14</v>
      </c>
      <c r="G18" s="66">
        <f>F18</f>
        <v>0.14</v>
      </c>
      <c r="H18" s="249"/>
      <c r="I18" s="67"/>
      <c r="J18" s="67"/>
      <c r="K18" s="67"/>
      <c r="L18" s="214"/>
      <c r="M18" s="65"/>
      <c r="N18" s="65"/>
      <c r="O18" s="65"/>
      <c r="P18" s="65"/>
    </row>
    <row r="19" spans="1:16" ht="12.75">
      <c r="A19" s="211"/>
      <c r="B19" s="68" t="s">
        <v>251</v>
      </c>
      <c r="C19" s="68"/>
      <c r="D19" s="215"/>
      <c r="E19" s="105">
        <f>C5</f>
        <v>1999</v>
      </c>
      <c r="F19" s="216"/>
      <c r="G19" s="67"/>
      <c r="H19" s="67"/>
      <c r="I19" s="67"/>
      <c r="J19" s="67"/>
      <c r="K19" s="67"/>
      <c r="L19" s="214"/>
      <c r="M19" s="65"/>
      <c r="N19" s="65"/>
      <c r="O19" s="65"/>
      <c r="P19" s="65"/>
    </row>
    <row r="20" spans="1:16" ht="12.75">
      <c r="A20" s="211"/>
      <c r="B20" s="67" t="s">
        <v>249</v>
      </c>
      <c r="C20" s="68"/>
      <c r="D20" s="68"/>
      <c r="E20" s="68"/>
      <c r="F20" s="109">
        <f>NPV(F18,C15:L15)</f>
        <v>179.42668959599297</v>
      </c>
      <c r="G20" s="109">
        <f>F20</f>
        <v>179.42668959599297</v>
      </c>
      <c r="H20" s="67"/>
      <c r="I20" s="67"/>
      <c r="J20" s="67"/>
      <c r="K20" s="67"/>
      <c r="L20" s="214"/>
      <c r="M20" s="65"/>
      <c r="N20" s="65"/>
      <c r="O20" s="65"/>
      <c r="P20" s="65"/>
    </row>
    <row r="21" spans="1:16" ht="12.75">
      <c r="A21" s="211"/>
      <c r="B21" s="68" t="s">
        <v>312</v>
      </c>
      <c r="C21" s="68"/>
      <c r="D21" s="143"/>
      <c r="E21" s="105">
        <f>L5</f>
        <v>2008</v>
      </c>
      <c r="F21" s="98">
        <f>$L$7</f>
        <v>80.98705750441802</v>
      </c>
      <c r="G21" s="98">
        <f>$L$15</f>
        <v>-60.60990906124542</v>
      </c>
      <c r="H21" s="215"/>
      <c r="I21" s="67"/>
      <c r="J21" s="67"/>
      <c r="K21" s="67"/>
      <c r="L21" s="214"/>
      <c r="M21" s="65"/>
      <c r="N21" s="65"/>
      <c r="O21" s="65"/>
      <c r="P21" s="65"/>
    </row>
    <row r="22" spans="1:16" ht="12.75">
      <c r="A22" s="211"/>
      <c r="B22" s="68" t="s">
        <v>252</v>
      </c>
      <c r="C22" s="68"/>
      <c r="D22" s="68"/>
      <c r="E22" s="68"/>
      <c r="F22" s="66">
        <v>0</v>
      </c>
      <c r="G22" s="66">
        <f>F22</f>
        <v>0</v>
      </c>
      <c r="H22" s="215"/>
      <c r="I22" s="67"/>
      <c r="J22" s="67"/>
      <c r="K22" s="67"/>
      <c r="L22" s="214"/>
      <c r="M22" s="65"/>
      <c r="N22" s="65"/>
      <c r="O22" s="65"/>
      <c r="P22" s="65"/>
    </row>
    <row r="23" spans="1:16" ht="12.75">
      <c r="A23" s="211"/>
      <c r="B23" s="68" t="s">
        <v>321</v>
      </c>
      <c r="C23" s="68"/>
      <c r="D23" s="68"/>
      <c r="E23" s="68"/>
      <c r="F23" s="217">
        <f>1/(F18-F22)</f>
        <v>7.142857142857142</v>
      </c>
      <c r="G23" s="217">
        <f>F23</f>
        <v>7.142857142857142</v>
      </c>
      <c r="H23" s="67"/>
      <c r="I23" s="67"/>
      <c r="J23" s="67"/>
      <c r="K23" s="67"/>
      <c r="L23" s="214"/>
      <c r="M23" s="65"/>
      <c r="N23" s="65"/>
      <c r="O23" s="65"/>
      <c r="P23" s="65"/>
    </row>
    <row r="24" spans="1:16" ht="12.75">
      <c r="A24" s="211"/>
      <c r="B24" s="68" t="s">
        <v>253</v>
      </c>
      <c r="C24" s="68"/>
      <c r="D24" s="216"/>
      <c r="E24" s="105">
        <f>L5</f>
        <v>2008</v>
      </c>
      <c r="F24" s="98">
        <f>F21/(F18-F22)</f>
        <v>578.4789821744143</v>
      </c>
      <c r="G24" s="98">
        <f>G21/(G18-G22)</f>
        <v>-432.9279218660387</v>
      </c>
      <c r="H24" s="67"/>
      <c r="I24" s="67"/>
      <c r="J24" s="67"/>
      <c r="K24" s="67"/>
      <c r="L24" s="214"/>
      <c r="M24" s="65"/>
      <c r="N24" s="65"/>
      <c r="O24" s="65"/>
      <c r="P24" s="65"/>
    </row>
    <row r="25" spans="1:16" ht="12.75">
      <c r="A25" s="211"/>
      <c r="B25" s="67" t="s">
        <v>247</v>
      </c>
      <c r="C25" s="68"/>
      <c r="D25" s="68"/>
      <c r="E25" s="68"/>
      <c r="F25" s="239">
        <f>(F24)/((1+F18)^10)</f>
        <v>156.04112437834144</v>
      </c>
      <c r="G25" s="239">
        <f>(G24)/((1+G18)^10)</f>
        <v>-116.77962689124527</v>
      </c>
      <c r="H25" s="67"/>
      <c r="I25" s="67"/>
      <c r="J25" s="67"/>
      <c r="K25" s="67"/>
      <c r="L25" s="214"/>
      <c r="M25" s="65"/>
      <c r="N25" s="65"/>
      <c r="O25" s="65"/>
      <c r="P25" s="65"/>
    </row>
    <row r="26" spans="1:16" ht="12.75">
      <c r="A26" s="211"/>
      <c r="B26" s="109" t="s">
        <v>254</v>
      </c>
      <c r="C26" s="98"/>
      <c r="D26" s="98"/>
      <c r="E26" s="98"/>
      <c r="F26" s="218">
        <f>F20+F25</f>
        <v>335.4678139743344</v>
      </c>
      <c r="G26" s="218">
        <f>G20+G25</f>
        <v>62.6470627047477</v>
      </c>
      <c r="H26" s="67"/>
      <c r="I26" s="67"/>
      <c r="J26" s="67"/>
      <c r="K26" s="67"/>
      <c r="L26" s="214"/>
      <c r="M26" s="65"/>
      <c r="N26" s="65"/>
      <c r="O26" s="65"/>
      <c r="P26" s="65"/>
    </row>
    <row r="27" spans="1:12" ht="12.75">
      <c r="A27" s="240"/>
      <c r="B27" s="223" t="s">
        <v>314</v>
      </c>
      <c r="C27" s="194"/>
      <c r="D27" s="247" t="s">
        <v>319</v>
      </c>
      <c r="E27" s="194"/>
      <c r="F27" s="241">
        <f>F26/Demand!$C$72*1000</f>
        <v>882.650604048532</v>
      </c>
      <c r="G27" s="241">
        <f>G26/Demand!$C$72*1000</f>
        <v>164.83091800408104</v>
      </c>
      <c r="H27" s="194"/>
      <c r="I27" s="194"/>
      <c r="J27" s="194"/>
      <c r="K27" s="194"/>
      <c r="L27" s="195"/>
    </row>
    <row r="28" spans="1:12" ht="12.75">
      <c r="A28" s="242" t="s">
        <v>318</v>
      </c>
      <c r="B28" s="223" t="s">
        <v>316</v>
      </c>
      <c r="C28" s="194"/>
      <c r="D28" s="247" t="s">
        <v>319</v>
      </c>
      <c r="E28" s="194"/>
      <c r="F28" s="241">
        <f>F26/Demand!$L$72*1000</f>
        <v>551.3988429925116</v>
      </c>
      <c r="G28" s="241">
        <f>G26/Demand!$L$72*1000</f>
        <v>102.97118368237864</v>
      </c>
      <c r="H28" s="194"/>
      <c r="I28" s="194"/>
      <c r="J28" s="194"/>
      <c r="K28" s="194"/>
      <c r="L28" s="195"/>
    </row>
    <row r="29" spans="1:12" ht="12.75">
      <c r="A29" s="310">
        <f>Demand!B8</f>
        <v>10</v>
      </c>
      <c r="B29" s="243" t="s">
        <v>317</v>
      </c>
      <c r="C29" s="201"/>
      <c r="D29" s="248" t="s">
        <v>319</v>
      </c>
      <c r="E29" s="201"/>
      <c r="F29" s="244">
        <f>F26/$A$29</f>
        <v>33.546781397433435</v>
      </c>
      <c r="G29" s="244">
        <f>G26/$A$29</f>
        <v>6.26470627047477</v>
      </c>
      <c r="H29" s="201"/>
      <c r="I29" s="201"/>
      <c r="J29" s="201"/>
      <c r="K29" s="201"/>
      <c r="L29" s="202"/>
    </row>
    <row r="30" spans="1:12" ht="12.75">
      <c r="A30" s="67"/>
      <c r="B30" s="86"/>
      <c r="C30" s="82"/>
      <c r="D30" s="82"/>
      <c r="E30" s="82"/>
      <c r="F30" s="238"/>
      <c r="G30" s="238"/>
      <c r="H30" s="82"/>
      <c r="I30" s="82"/>
      <c r="J30" s="82"/>
      <c r="K30" s="82"/>
      <c r="L30" s="82"/>
    </row>
    <row r="31" spans="2:12" ht="12.75">
      <c r="B31" s="245" t="s">
        <v>342</v>
      </c>
      <c r="C31" s="82"/>
      <c r="D31" s="82"/>
      <c r="E31" s="82"/>
      <c r="F31" s="82"/>
      <c r="G31" s="245" t="s">
        <v>341</v>
      </c>
      <c r="H31" s="82"/>
      <c r="I31" s="82"/>
      <c r="J31" s="82"/>
      <c r="K31" s="82"/>
      <c r="L31" s="82"/>
    </row>
    <row r="32" spans="1:12" ht="12.75">
      <c r="A32" s="246" t="s">
        <v>193</v>
      </c>
      <c r="B32" s="220">
        <f>IRR(B15:L15,0)</f>
        <v>0.8211389121212971</v>
      </c>
      <c r="C32" s="221">
        <f>MAX($B$41:$S$41)</f>
        <v>10</v>
      </c>
      <c r="D32" s="222" t="s">
        <v>260</v>
      </c>
      <c r="E32" s="82"/>
      <c r="F32" s="206"/>
      <c r="G32" s="220">
        <f>IRR(B46:L46,0)</f>
        <v>0.9376194755116769</v>
      </c>
      <c r="H32" s="82"/>
      <c r="I32" s="82"/>
      <c r="J32" s="82"/>
      <c r="K32" s="82"/>
      <c r="L32" s="82"/>
    </row>
    <row r="33" spans="1:12" ht="12.75">
      <c r="A33" s="161"/>
      <c r="B33" s="220">
        <f>IRR(B37:L37,0)</f>
        <v>0.8269793601233776</v>
      </c>
      <c r="C33" s="221">
        <f>MAX($B$41:$S$41)</f>
        <v>10</v>
      </c>
      <c r="D33" s="222" t="s">
        <v>304</v>
      </c>
      <c r="E33" s="82"/>
      <c r="F33" s="206"/>
      <c r="G33" s="220">
        <f>IRR(B52:L52,0)</f>
        <v>0.9420575259608666</v>
      </c>
      <c r="H33" s="82"/>
      <c r="I33" s="82"/>
      <c r="J33" s="82"/>
      <c r="K33" s="82"/>
      <c r="L33" s="82"/>
    </row>
    <row r="34" spans="1:12" ht="12.75">
      <c r="A34" s="161"/>
      <c r="B34" s="220">
        <f>IRR(B38:L38,0)</f>
        <v>-0.06389047245026101</v>
      </c>
      <c r="C34" s="221">
        <f>MAX($B$41:$S$41)</f>
        <v>10</v>
      </c>
      <c r="D34" s="222" t="s">
        <v>306</v>
      </c>
      <c r="E34" s="82"/>
      <c r="F34" s="206"/>
      <c r="G34" s="220">
        <f>IRR(B53:L53,0)</f>
        <v>-0.06304070341793322</v>
      </c>
      <c r="H34" s="82"/>
      <c r="I34" s="82"/>
      <c r="J34" s="82"/>
      <c r="K34" s="82"/>
      <c r="L34" s="82"/>
    </row>
    <row r="35" spans="1:12" ht="12.75">
      <c r="A35" s="161"/>
      <c r="B35" s="206"/>
      <c r="C35" s="82"/>
      <c r="D35" s="82"/>
      <c r="E35" s="82"/>
      <c r="F35" s="206"/>
      <c r="G35" s="82"/>
      <c r="H35" s="82"/>
      <c r="I35" s="82"/>
      <c r="J35" s="82"/>
      <c r="K35" s="82"/>
      <c r="L35" s="82"/>
    </row>
    <row r="36" spans="1:12" ht="12.75">
      <c r="A36" s="87" t="s">
        <v>343</v>
      </c>
      <c r="B36" s="206"/>
      <c r="C36" s="82"/>
      <c r="D36" s="82"/>
      <c r="E36" s="82"/>
      <c r="F36" s="206"/>
      <c r="G36" s="82"/>
      <c r="H36" s="82"/>
      <c r="I36" s="82"/>
      <c r="J36" s="82"/>
      <c r="K36" s="82"/>
      <c r="L36" s="82"/>
    </row>
    <row r="37" spans="1:12" ht="12.75">
      <c r="A37" s="84" t="s">
        <v>305</v>
      </c>
      <c r="B37" s="82">
        <f>B$15</f>
        <v>-50.22489464869674</v>
      </c>
      <c r="C37" s="82">
        <f aca="true" t="shared" si="3" ref="C37:K38">C$15</f>
        <v>34.523574471840796</v>
      </c>
      <c r="D37" s="82">
        <f t="shared" si="3"/>
        <v>36.01371119996592</v>
      </c>
      <c r="E37" s="82">
        <f t="shared" si="3"/>
        <v>60.6371146014284</v>
      </c>
      <c r="F37" s="82">
        <f t="shared" si="3"/>
        <v>62.967666046870654</v>
      </c>
      <c r="G37" s="82">
        <f t="shared" si="3"/>
        <v>56.90282562140051</v>
      </c>
      <c r="H37" s="82">
        <f t="shared" si="3"/>
        <v>54.451224038395765</v>
      </c>
      <c r="I37" s="82">
        <f t="shared" si="3"/>
        <v>45.728681362415294</v>
      </c>
      <c r="J37" s="82">
        <f t="shared" si="3"/>
        <v>-10.605889010042869</v>
      </c>
      <c r="K37" s="82">
        <f t="shared" si="3"/>
        <v>-30.39696012095236</v>
      </c>
      <c r="L37" s="82">
        <f>L$15+$F$25</f>
        <v>95.43121531709602</v>
      </c>
    </row>
    <row r="38" spans="1:12" ht="12.75">
      <c r="A38" s="84" t="s">
        <v>307</v>
      </c>
      <c r="B38" s="82">
        <f>B$15</f>
        <v>-50.22489464869674</v>
      </c>
      <c r="C38" s="82">
        <f t="shared" si="3"/>
        <v>34.523574471840796</v>
      </c>
      <c r="D38" s="82">
        <f t="shared" si="3"/>
        <v>36.01371119996592</v>
      </c>
      <c r="E38" s="82">
        <f t="shared" si="3"/>
        <v>60.6371146014284</v>
      </c>
      <c r="F38" s="82">
        <f t="shared" si="3"/>
        <v>62.967666046870654</v>
      </c>
      <c r="G38" s="82">
        <f t="shared" si="3"/>
        <v>56.90282562140051</v>
      </c>
      <c r="H38" s="82">
        <f t="shared" si="3"/>
        <v>54.451224038395765</v>
      </c>
      <c r="I38" s="82">
        <f t="shared" si="3"/>
        <v>45.728681362415294</v>
      </c>
      <c r="J38" s="82">
        <f t="shared" si="3"/>
        <v>-10.605889010042869</v>
      </c>
      <c r="K38" s="82">
        <f t="shared" si="3"/>
        <v>-30.39696012095236</v>
      </c>
      <c r="L38" s="82">
        <f>L$15+$G$25</f>
        <v>-177.3895359524907</v>
      </c>
    </row>
    <row r="39" spans="1:12" ht="12.75">
      <c r="A39" s="161"/>
      <c r="B39" s="206"/>
      <c r="C39" s="82"/>
      <c r="D39" s="82"/>
      <c r="E39" s="82"/>
      <c r="F39" s="206"/>
      <c r="G39" s="82"/>
      <c r="H39" s="82"/>
      <c r="I39" s="82"/>
      <c r="J39" s="82"/>
      <c r="K39" s="82"/>
      <c r="L39" s="82"/>
    </row>
    <row r="40" spans="1:12" ht="12.75">
      <c r="A40" s="255" t="s">
        <v>336</v>
      </c>
      <c r="B40" s="206"/>
      <c r="C40" s="82"/>
      <c r="D40" s="82"/>
      <c r="E40" s="82"/>
      <c r="F40" s="206"/>
      <c r="G40" s="82"/>
      <c r="H40" s="82"/>
      <c r="I40" s="82"/>
      <c r="J40" s="82"/>
      <c r="K40" s="82"/>
      <c r="L40" s="82"/>
    </row>
    <row r="41" spans="1:12" ht="12.75">
      <c r="A41" s="36" t="s">
        <v>35</v>
      </c>
      <c r="B41" s="37">
        <v>0</v>
      </c>
      <c r="C41" s="37">
        <v>1</v>
      </c>
      <c r="D41" s="37">
        <v>2</v>
      </c>
      <c r="E41" s="37">
        <v>3</v>
      </c>
      <c r="F41" s="37">
        <v>4</v>
      </c>
      <c r="G41" s="37">
        <v>5</v>
      </c>
      <c r="H41" s="37">
        <v>6</v>
      </c>
      <c r="I41" s="37">
        <v>7</v>
      </c>
      <c r="J41" s="37">
        <v>8</v>
      </c>
      <c r="K41" s="37">
        <v>9</v>
      </c>
      <c r="L41" s="37">
        <v>10</v>
      </c>
    </row>
    <row r="42" spans="1:12" ht="12.75">
      <c r="A42" s="39"/>
      <c r="B42" s="37">
        <f>C42-1</f>
        <v>1998</v>
      </c>
      <c r="C42" s="37">
        <f>Assumptions!B7</f>
        <v>1999</v>
      </c>
      <c r="D42" s="37">
        <f>C42+1</f>
        <v>2000</v>
      </c>
      <c r="E42" s="37">
        <f aca="true" t="shared" si="4" ref="E42:L42">D42+1</f>
        <v>2001</v>
      </c>
      <c r="F42" s="37">
        <f t="shared" si="4"/>
        <v>2002</v>
      </c>
      <c r="G42" s="37">
        <f t="shared" si="4"/>
        <v>2003</v>
      </c>
      <c r="H42" s="37">
        <f t="shared" si="4"/>
        <v>2004</v>
      </c>
      <c r="I42" s="37">
        <f t="shared" si="4"/>
        <v>2005</v>
      </c>
      <c r="J42" s="37">
        <f t="shared" si="4"/>
        <v>2006</v>
      </c>
      <c r="K42" s="37">
        <f t="shared" si="4"/>
        <v>2007</v>
      </c>
      <c r="L42" s="37">
        <f t="shared" si="4"/>
        <v>2008</v>
      </c>
    </row>
    <row r="43" spans="1:12" ht="12.75">
      <c r="A43" s="87" t="s">
        <v>300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12.75">
      <c r="A44" s="84" t="s">
        <v>189</v>
      </c>
      <c r="B44" s="86">
        <f>BalSheet!A31-BalSheet!B31</f>
        <v>-40</v>
      </c>
      <c r="C44" s="86">
        <f>BalSheet!B31-BalSheet!C31</f>
        <v>0</v>
      </c>
      <c r="D44" s="86">
        <f>BalSheet!C31-BalSheet!D31</f>
        <v>0</v>
      </c>
      <c r="E44" s="86">
        <f>BalSheet!D31-BalSheet!E31</f>
        <v>0</v>
      </c>
      <c r="F44" s="86">
        <f>BalSheet!E31-BalSheet!F31</f>
        <v>0</v>
      </c>
      <c r="G44" s="86">
        <f>BalSheet!F31-BalSheet!G31</f>
        <v>0</v>
      </c>
      <c r="H44" s="86">
        <f>BalSheet!G31-BalSheet!H31</f>
        <v>0</v>
      </c>
      <c r="I44" s="86">
        <f>BalSheet!H31-BalSheet!I31</f>
        <v>0</v>
      </c>
      <c r="J44" s="86">
        <f>BalSheet!I31-BalSheet!J31</f>
        <v>0</v>
      </c>
      <c r="K44" s="86">
        <f>BalSheet!J31-BalSheet!K31</f>
        <v>0</v>
      </c>
      <c r="L44" s="86">
        <f>BalSheet!K31-BalSheet!L31</f>
        <v>0</v>
      </c>
    </row>
    <row r="45" spans="1:12" ht="12.75">
      <c r="A45" s="84" t="s">
        <v>190</v>
      </c>
      <c r="B45" s="82">
        <f>CashFlow!B37</f>
        <v>4.38510535130326</v>
      </c>
      <c r="C45" s="82">
        <f>CashFlow!C37</f>
        <v>19.133574471840774</v>
      </c>
      <c r="D45" s="82">
        <f>CashFlow!D37</f>
        <v>36.01371119996595</v>
      </c>
      <c r="E45" s="82">
        <f>CashFlow!E37</f>
        <v>60.63711460142838</v>
      </c>
      <c r="F45" s="82">
        <f>CashFlow!F37</f>
        <v>62.96766604687066</v>
      </c>
      <c r="G45" s="82">
        <f>CashFlow!G37</f>
        <v>56.902825621400495</v>
      </c>
      <c r="H45" s="82">
        <f>CashFlow!H37</f>
        <v>54.451224038395736</v>
      </c>
      <c r="I45" s="82">
        <f>CashFlow!I37</f>
        <v>45.728681362415315</v>
      </c>
      <c r="J45" s="82">
        <f>CashFlow!J37</f>
        <v>-10.605889010042873</v>
      </c>
      <c r="K45" s="82">
        <f>CashFlow!K37</f>
        <v>-30.3969601209523</v>
      </c>
      <c r="L45" s="82">
        <f>CashFlow!L37</f>
        <v>-60.60990906124543</v>
      </c>
    </row>
    <row r="46" spans="1:12" ht="12.75">
      <c r="A46" s="174" t="s">
        <v>191</v>
      </c>
      <c r="B46" s="82">
        <f aca="true" t="shared" si="5" ref="B46:L46">SUM(B44:B45)</f>
        <v>-35.61489464869674</v>
      </c>
      <c r="C46" s="82">
        <f t="shared" si="5"/>
        <v>19.133574471840774</v>
      </c>
      <c r="D46" s="82">
        <f t="shared" si="5"/>
        <v>36.01371119996595</v>
      </c>
      <c r="E46" s="82">
        <f t="shared" si="5"/>
        <v>60.63711460142838</v>
      </c>
      <c r="F46" s="82">
        <f t="shared" si="5"/>
        <v>62.96766604687066</v>
      </c>
      <c r="G46" s="82">
        <f t="shared" si="5"/>
        <v>56.902825621400495</v>
      </c>
      <c r="H46" s="82">
        <f t="shared" si="5"/>
        <v>54.451224038395736</v>
      </c>
      <c r="I46" s="82">
        <f t="shared" si="5"/>
        <v>45.728681362415315</v>
      </c>
      <c r="J46" s="82">
        <f t="shared" si="5"/>
        <v>-10.605889010042873</v>
      </c>
      <c r="K46" s="82">
        <f t="shared" si="5"/>
        <v>-30.3969601209523</v>
      </c>
      <c r="L46" s="82">
        <f t="shared" si="5"/>
        <v>-60.60990906124543</v>
      </c>
    </row>
    <row r="47" spans="1:12" ht="12.75">
      <c r="A47" s="17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1:12" ht="12.75">
      <c r="A48" s="80" t="s">
        <v>328</v>
      </c>
      <c r="B48" s="82">
        <f aca="true" t="shared" si="6" ref="B48:L48">B15-B46</f>
        <v>-14.61</v>
      </c>
      <c r="C48" s="82">
        <f t="shared" si="6"/>
        <v>15.390000000000022</v>
      </c>
      <c r="D48" s="82">
        <f t="shared" si="6"/>
        <v>0</v>
      </c>
      <c r="E48" s="82">
        <f t="shared" si="6"/>
        <v>0</v>
      </c>
      <c r="F48" s="82">
        <f t="shared" si="6"/>
        <v>0</v>
      </c>
      <c r="G48" s="82">
        <f t="shared" si="6"/>
        <v>0</v>
      </c>
      <c r="H48" s="82">
        <f t="shared" si="6"/>
        <v>0</v>
      </c>
      <c r="I48" s="82">
        <f t="shared" si="6"/>
        <v>0</v>
      </c>
      <c r="J48" s="82">
        <f t="shared" si="6"/>
        <v>0</v>
      </c>
      <c r="K48" s="82">
        <f t="shared" si="6"/>
        <v>-6.039613253960852E-14</v>
      </c>
      <c r="L48" s="82">
        <f t="shared" si="6"/>
        <v>0</v>
      </c>
    </row>
    <row r="49" spans="1:12" ht="12.75">
      <c r="A49" s="17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2" ht="12.75">
      <c r="A50" s="84" t="s">
        <v>192</v>
      </c>
      <c r="B50" s="82">
        <f>B46</f>
        <v>-35.61489464869674</v>
      </c>
      <c r="C50" s="82">
        <f aca="true" t="shared" si="7" ref="C50:L50">B50+C46</f>
        <v>-16.481320176855967</v>
      </c>
      <c r="D50" s="82">
        <f t="shared" si="7"/>
        <v>19.53239102310998</v>
      </c>
      <c r="E50" s="82">
        <f t="shared" si="7"/>
        <v>80.16950562453836</v>
      </c>
      <c r="F50" s="82">
        <f t="shared" si="7"/>
        <v>143.13717167140902</v>
      </c>
      <c r="G50" s="82">
        <f t="shared" si="7"/>
        <v>200.03999729280952</v>
      </c>
      <c r="H50" s="82">
        <f t="shared" si="7"/>
        <v>254.49122133120525</v>
      </c>
      <c r="I50" s="82">
        <f t="shared" si="7"/>
        <v>300.21990269362055</v>
      </c>
      <c r="J50" s="82">
        <f t="shared" si="7"/>
        <v>289.6140136835777</v>
      </c>
      <c r="K50" s="82">
        <f t="shared" si="7"/>
        <v>259.2170535626254</v>
      </c>
      <c r="L50" s="82">
        <f t="shared" si="7"/>
        <v>198.60714450137993</v>
      </c>
    </row>
    <row r="52" spans="1:12" ht="12.75">
      <c r="A52" s="84" t="s">
        <v>305</v>
      </c>
      <c r="B52" s="82">
        <f aca="true" t="shared" si="8" ref="B52:K53">B$46</f>
        <v>-35.61489464869674</v>
      </c>
      <c r="C52" s="82">
        <f t="shared" si="8"/>
        <v>19.133574471840774</v>
      </c>
      <c r="D52" s="82">
        <f t="shared" si="8"/>
        <v>36.01371119996595</v>
      </c>
      <c r="E52" s="82">
        <f t="shared" si="8"/>
        <v>60.63711460142838</v>
      </c>
      <c r="F52" s="82">
        <f t="shared" si="8"/>
        <v>62.96766604687066</v>
      </c>
      <c r="G52" s="82">
        <f t="shared" si="8"/>
        <v>56.902825621400495</v>
      </c>
      <c r="H52" s="82">
        <f t="shared" si="8"/>
        <v>54.451224038395736</v>
      </c>
      <c r="I52" s="82">
        <f t="shared" si="8"/>
        <v>45.728681362415315</v>
      </c>
      <c r="J52" s="82">
        <f t="shared" si="8"/>
        <v>-10.605889010042873</v>
      </c>
      <c r="K52" s="82">
        <f t="shared" si="8"/>
        <v>-30.3969601209523</v>
      </c>
      <c r="L52" s="82">
        <f>L$46+F25</f>
        <v>95.431215317096</v>
      </c>
    </row>
    <row r="53" spans="1:12" ht="12.75">
      <c r="A53" s="84" t="s">
        <v>307</v>
      </c>
      <c r="B53" s="82">
        <f t="shared" si="8"/>
        <v>-35.61489464869674</v>
      </c>
      <c r="C53" s="82">
        <f t="shared" si="8"/>
        <v>19.133574471840774</v>
      </c>
      <c r="D53" s="82">
        <f t="shared" si="8"/>
        <v>36.01371119996595</v>
      </c>
      <c r="E53" s="82">
        <f t="shared" si="8"/>
        <v>60.63711460142838</v>
      </c>
      <c r="F53" s="82">
        <f t="shared" si="8"/>
        <v>62.96766604687066</v>
      </c>
      <c r="G53" s="82">
        <f t="shared" si="8"/>
        <v>56.902825621400495</v>
      </c>
      <c r="H53" s="82">
        <f t="shared" si="8"/>
        <v>54.451224038395736</v>
      </c>
      <c r="I53" s="82">
        <f t="shared" si="8"/>
        <v>45.728681362415315</v>
      </c>
      <c r="J53" s="82">
        <f t="shared" si="8"/>
        <v>-10.605889010042873</v>
      </c>
      <c r="K53" s="82">
        <f t="shared" si="8"/>
        <v>-30.3969601209523</v>
      </c>
      <c r="L53" s="82">
        <f>L$46+G25</f>
        <v>-177.3895359524907</v>
      </c>
    </row>
    <row r="55" spans="1:7" ht="12.75">
      <c r="A55" s="211" t="s">
        <v>308</v>
      </c>
      <c r="B55" s="68"/>
      <c r="C55" s="68"/>
      <c r="D55" s="68"/>
      <c r="E55" s="67" t="s">
        <v>301</v>
      </c>
      <c r="F55" s="234" t="s">
        <v>302</v>
      </c>
      <c r="G55" s="234" t="s">
        <v>303</v>
      </c>
    </row>
    <row r="56" spans="1:8" ht="12.75">
      <c r="A56" s="211"/>
      <c r="B56" s="68" t="s">
        <v>246</v>
      </c>
      <c r="C56" s="68"/>
      <c r="D56" s="68"/>
      <c r="E56" s="68"/>
      <c r="F56" s="66">
        <v>0.14</v>
      </c>
      <c r="G56" s="66">
        <f>F56</f>
        <v>0.14</v>
      </c>
      <c r="H56" s="249" t="s">
        <v>320</v>
      </c>
    </row>
    <row r="57" spans="1:7" ht="12.75">
      <c r="A57" s="211"/>
      <c r="B57" s="68" t="s">
        <v>251</v>
      </c>
      <c r="C57" s="68"/>
      <c r="D57" s="215"/>
      <c r="E57" s="105">
        <f>C42</f>
        <v>1999</v>
      </c>
      <c r="F57" s="216"/>
      <c r="G57" s="67"/>
    </row>
    <row r="58" spans="1:7" ht="12.75">
      <c r="A58" s="211"/>
      <c r="B58" s="67" t="s">
        <v>249</v>
      </c>
      <c r="C58" s="68"/>
      <c r="D58" s="68"/>
      <c r="E58" s="68"/>
      <c r="F58" s="109">
        <f>NPV(F56,C46:L46)</f>
        <v>165.92668959599297</v>
      </c>
      <c r="G58" s="109">
        <f>F58</f>
        <v>165.92668959599297</v>
      </c>
    </row>
    <row r="59" spans="1:7" ht="12.75">
      <c r="A59" s="211"/>
      <c r="B59" s="68" t="s">
        <v>310</v>
      </c>
      <c r="C59" s="68"/>
      <c r="D59" s="143"/>
      <c r="E59" s="105">
        <f>L42</f>
        <v>2008</v>
      </c>
      <c r="F59" s="98">
        <f>$L$7</f>
        <v>80.98705750441802</v>
      </c>
      <c r="G59" s="98">
        <f>$L$46</f>
        <v>-60.60990906124543</v>
      </c>
    </row>
    <row r="60" spans="1:7" ht="12.75">
      <c r="A60" s="211"/>
      <c r="B60" s="68" t="s">
        <v>252</v>
      </c>
      <c r="C60" s="68"/>
      <c r="D60" s="68"/>
      <c r="E60" s="68"/>
      <c r="F60" s="66">
        <v>0</v>
      </c>
      <c r="G60" s="66">
        <f>F60</f>
        <v>0</v>
      </c>
    </row>
    <row r="61" spans="1:7" ht="12.75">
      <c r="A61" s="211"/>
      <c r="B61" s="68" t="s">
        <v>250</v>
      </c>
      <c r="C61" s="68"/>
      <c r="D61" s="68"/>
      <c r="E61" s="68"/>
      <c r="F61" s="250">
        <f>100/14</f>
        <v>7.142857142857143</v>
      </c>
      <c r="G61" s="217">
        <f>1/(G56-G60)</f>
        <v>7.142857142857142</v>
      </c>
    </row>
    <row r="62" spans="1:7" ht="12.75">
      <c r="A62" s="211"/>
      <c r="B62" s="68" t="s">
        <v>253</v>
      </c>
      <c r="C62" s="68"/>
      <c r="D62" s="216"/>
      <c r="E62" s="105">
        <f>L42</f>
        <v>2008</v>
      </c>
      <c r="F62" s="98">
        <f>F59/(F56-F60)</f>
        <v>578.4789821744143</v>
      </c>
      <c r="G62" s="98">
        <f>G59/(G56-G60)</f>
        <v>-432.92792186603873</v>
      </c>
    </row>
    <row r="63" spans="1:7" ht="12.75">
      <c r="A63" s="211"/>
      <c r="B63" s="67" t="s">
        <v>247</v>
      </c>
      <c r="C63" s="68"/>
      <c r="D63" s="68"/>
      <c r="E63" s="68"/>
      <c r="F63" s="239">
        <f>(F62)/((1+F56)^10)</f>
        <v>156.04112437834144</v>
      </c>
      <c r="G63" s="239">
        <f>(G62)/((1+G56)^10)</f>
        <v>-116.77962689124529</v>
      </c>
    </row>
    <row r="64" spans="1:7" ht="12.75">
      <c r="A64" s="211"/>
      <c r="B64" s="109" t="s">
        <v>254</v>
      </c>
      <c r="C64" s="98"/>
      <c r="D64" s="98"/>
      <c r="E64" s="98"/>
      <c r="F64" s="218">
        <f>F58+F63</f>
        <v>321.9678139743344</v>
      </c>
      <c r="G64" s="218">
        <f>G58+G63</f>
        <v>49.14706270474768</v>
      </c>
    </row>
    <row r="66" spans="2:7" ht="12.75">
      <c r="B66" s="145" t="s">
        <v>309</v>
      </c>
      <c r="C66" s="12"/>
      <c r="D66" s="12"/>
      <c r="E66" s="12"/>
      <c r="F66" s="136">
        <f>F64/F26</f>
        <v>0.9597576892994186</v>
      </c>
      <c r="G66" s="136">
        <f>G64/G26</f>
        <v>0.7845070556041103</v>
      </c>
    </row>
    <row r="67" spans="2:7" ht="12.75">
      <c r="B67" s="145"/>
      <c r="C67" s="12"/>
      <c r="D67" s="12"/>
      <c r="E67" s="12"/>
      <c r="F67" s="136"/>
      <c r="G67" s="136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12" width="8.125" style="0" customWidth="1"/>
  </cols>
  <sheetData>
    <row r="1" s="30" customFormat="1" ht="12.75">
      <c r="A1" s="16" t="s">
        <v>198</v>
      </c>
    </row>
    <row r="2" spans="1:12" s="30" customFormat="1" ht="12.75">
      <c r="A2" s="24" t="s">
        <v>35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</row>
    <row r="3" spans="1:12" s="30" customFormat="1" ht="12.75">
      <c r="A3" s="34"/>
      <c r="B3" s="32">
        <f>C3-1</f>
        <v>1998</v>
      </c>
      <c r="C3" s="32">
        <f>Assumptions!B7</f>
        <v>1999</v>
      </c>
      <c r="D3" s="32">
        <f>C3+1</f>
        <v>2000</v>
      </c>
      <c r="E3" s="32">
        <f aca="true" t="shared" si="0" ref="E3:L3">D3+1</f>
        <v>2001</v>
      </c>
      <c r="F3" s="32">
        <f t="shared" si="0"/>
        <v>2002</v>
      </c>
      <c r="G3" s="32">
        <f t="shared" si="0"/>
        <v>2003</v>
      </c>
      <c r="H3" s="32">
        <f t="shared" si="0"/>
        <v>2004</v>
      </c>
      <c r="I3" s="32">
        <f t="shared" si="0"/>
        <v>2005</v>
      </c>
      <c r="J3" s="32">
        <f t="shared" si="0"/>
        <v>2006</v>
      </c>
      <c r="K3" s="32">
        <f t="shared" si="0"/>
        <v>2007</v>
      </c>
      <c r="L3" s="32">
        <f t="shared" si="0"/>
        <v>2008</v>
      </c>
    </row>
    <row r="4" s="30" customFormat="1" ht="12.75">
      <c r="A4" s="16" t="s">
        <v>199</v>
      </c>
    </row>
    <row r="5" spans="1:12" s="30" customFormat="1" ht="12.75">
      <c r="A5" s="32" t="str">
        <f>'P&amp;L'!A13</f>
        <v>    TOTAL REVENUES</v>
      </c>
      <c r="B5" s="64">
        <f>'P&amp;L'!B13</f>
        <v>0</v>
      </c>
      <c r="C5" s="64">
        <f>'P&amp;L'!C13</f>
        <v>164.90386692334081</v>
      </c>
      <c r="D5" s="64">
        <f>'P&amp;L'!D13</f>
        <v>173.1274940305927</v>
      </c>
      <c r="E5" s="64">
        <f>'P&amp;L'!E13</f>
        <v>175.64194217840532</v>
      </c>
      <c r="F5" s="64">
        <f>'P&amp;L'!F13</f>
        <v>173.3528332206523</v>
      </c>
      <c r="G5" s="64">
        <f>'P&amp;L'!G13</f>
        <v>171.23183442301502</v>
      </c>
      <c r="H5" s="64">
        <f>'P&amp;L'!H13</f>
        <v>169.05345782072382</v>
      </c>
      <c r="I5" s="64">
        <f>'P&amp;L'!I13</f>
        <v>167.03486293229406</v>
      </c>
      <c r="J5" s="64">
        <f>'P&amp;L'!J13</f>
        <v>172.68023317843472</v>
      </c>
      <c r="K5" s="64">
        <f>'P&amp;L'!K13</f>
        <v>183.1580251503311</v>
      </c>
      <c r="L5" s="64">
        <f>'P&amp;L'!L13</f>
        <v>194.57060217898047</v>
      </c>
    </row>
    <row r="6" spans="1:12" s="30" customFormat="1" ht="12.75">
      <c r="A6" s="32" t="str">
        <f>'P&amp;L'!A16</f>
        <v>   NET OPER. REVENUES</v>
      </c>
      <c r="B6" s="64">
        <f>'P&amp;L'!B16</f>
        <v>0</v>
      </c>
      <c r="C6" s="64">
        <f>'P&amp;L'!C16</f>
        <v>164.90386692334081</v>
      </c>
      <c r="D6" s="64">
        <f>'P&amp;L'!D16</f>
        <v>173.1274940305927</v>
      </c>
      <c r="E6" s="64">
        <f>'P&amp;L'!E16</f>
        <v>175.64194217840532</v>
      </c>
      <c r="F6" s="64">
        <f>'P&amp;L'!F16</f>
        <v>173.3528332206523</v>
      </c>
      <c r="G6" s="64">
        <f>'P&amp;L'!G16</f>
        <v>171.23183442301502</v>
      </c>
      <c r="H6" s="64">
        <f>'P&amp;L'!H16</f>
        <v>169.05345782072382</v>
      </c>
      <c r="I6" s="64">
        <f>'P&amp;L'!I16</f>
        <v>167.03486293229406</v>
      </c>
      <c r="J6" s="64">
        <f>'P&amp;L'!J16</f>
        <v>172.68023317843472</v>
      </c>
      <c r="K6" s="64">
        <f>'P&amp;L'!K16</f>
        <v>183.1580251503311</v>
      </c>
      <c r="L6" s="64">
        <f>'P&amp;L'!L16</f>
        <v>194.57060217898047</v>
      </c>
    </row>
    <row r="7" spans="1:12" s="30" customFormat="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30" customFormat="1" ht="12.75">
      <c r="A8" s="16" t="s">
        <v>200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30" customFormat="1" ht="12.75">
      <c r="A9" s="32" t="str">
        <f>'P&amp;L'!A36</f>
        <v>    TOTAL OPR. EXPENSES</v>
      </c>
      <c r="B9" s="64">
        <f>'P&amp;L'!B36</f>
        <v>0.016248707669172933</v>
      </c>
      <c r="C9" s="64">
        <f>'P&amp;L'!C36</f>
        <v>23.151485038919322</v>
      </c>
      <c r="D9" s="64">
        <f>'P&amp;L'!D36</f>
        <v>32.9881867102828</v>
      </c>
      <c r="E9" s="64">
        <f>'P&amp;L'!E36</f>
        <v>42.97707110130142</v>
      </c>
      <c r="F9" s="64">
        <f>'P&amp;L'!F36</f>
        <v>48.800805662825454</v>
      </c>
      <c r="G9" s="64">
        <f>'P&amp;L'!G36</f>
        <v>54.15659747960198</v>
      </c>
      <c r="H9" s="64">
        <f>'P&amp;L'!H36</f>
        <v>60.429172274899166</v>
      </c>
      <c r="I9" s="64">
        <f>'P&amp;L'!I36</f>
        <v>66.99322236508291</v>
      </c>
      <c r="J9" s="64">
        <f>'P&amp;L'!J36</f>
        <v>75.22225799892925</v>
      </c>
      <c r="K9" s="64">
        <f>'P&amp;L'!K36</f>
        <v>92.95963147323556</v>
      </c>
      <c r="L9" s="64">
        <f>'P&amp;L'!L36</f>
        <v>113.58354467456245</v>
      </c>
    </row>
    <row r="10" spans="1:12" s="30" customFormat="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30" customFormat="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30" customFormat="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s="30" customFormat="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s="30" customFormat="1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30" customFormat="1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s="30" customFormat="1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s="30" customFormat="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="30" customFormat="1" ht="12.75"/>
    <row r="19" s="30" customFormat="1" ht="12.75"/>
    <row r="20" s="30" customFormat="1" ht="12.75"/>
    <row r="21" s="30" customFormat="1" ht="12.75"/>
    <row r="22" s="30" customFormat="1" ht="12.75"/>
    <row r="23" s="30" customFormat="1" ht="12.75"/>
    <row r="24" s="30" customFormat="1" ht="12.75"/>
    <row r="25" s="30" customFormat="1" ht="12.75"/>
    <row r="26" s="30" customFormat="1" ht="12.75"/>
    <row r="27" s="30" customFormat="1" ht="12.75"/>
    <row r="28" s="30" customFormat="1" ht="12.75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</sheetData>
  <printOptions horizontalCentered="1" verticalCentered="1"/>
  <pageMargins left="0.75" right="0.75" top="0.75" bottom="0.75" header="0.5" footer="0.5"/>
  <pageSetup horizontalDpi="600" verticalDpi="600" orientation="landscape" r:id="rId2"/>
  <headerFooter alignWithMargins="0">
    <oddHeader>&amp;LYale M. Braunstein&amp;C&amp;A</oddHeader>
    <oddFooter>&amp;LPrint date: &amp;D&amp;CTelecom Financial Model&amp;RPage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125" style="30" customWidth="1"/>
    <col min="2" max="2" width="14.00390625" style="30" customWidth="1"/>
    <col min="3" max="3" width="42.00390625" style="226" customWidth="1"/>
    <col min="4" max="4" width="31.125" style="30" customWidth="1"/>
    <col min="5" max="9" width="9.00390625" style="30" customWidth="1"/>
  </cols>
  <sheetData>
    <row r="1" spans="1:3" ht="12.75">
      <c r="A1" s="30" t="s">
        <v>261</v>
      </c>
      <c r="C1" s="226" t="str">
        <f ca="1">CELL("filename")</f>
        <v>W:\courses\is290-1\f04\protected\[tel-fin.xls]TOC</v>
      </c>
    </row>
    <row r="2" spans="1:3" ht="12.75">
      <c r="A2" s="30" t="s">
        <v>262</v>
      </c>
      <c r="C2" s="232">
        <v>36166</v>
      </c>
    </row>
    <row r="3" spans="1:3" ht="12.75">
      <c r="A3" s="30" t="s">
        <v>263</v>
      </c>
      <c r="C3" s="233">
        <v>38237</v>
      </c>
    </row>
    <row r="4" ht="12.75">
      <c r="A4" s="316" t="s">
        <v>439</v>
      </c>
    </row>
    <row r="5" spans="1:4" ht="36.75" customHeight="1">
      <c r="A5" s="317" t="s">
        <v>270</v>
      </c>
      <c r="B5" s="317"/>
      <c r="C5" s="317"/>
      <c r="D5" s="317"/>
    </row>
    <row r="6" spans="1:2" ht="12.75">
      <c r="A6" s="230" t="s">
        <v>298</v>
      </c>
      <c r="B6" s="229" t="s">
        <v>297</v>
      </c>
    </row>
    <row r="7" ht="12.75">
      <c r="B7" s="228" t="s">
        <v>299</v>
      </c>
    </row>
    <row r="9" spans="1:4" ht="12.75">
      <c r="A9" s="224" t="s">
        <v>264</v>
      </c>
      <c r="B9" s="224" t="s">
        <v>265</v>
      </c>
      <c r="C9" s="227" t="s">
        <v>266</v>
      </c>
      <c r="D9" s="224" t="s">
        <v>230</v>
      </c>
    </row>
    <row r="10" spans="1:3" ht="12.75">
      <c r="A10" s="225">
        <v>1</v>
      </c>
      <c r="B10" s="231" t="s">
        <v>267</v>
      </c>
      <c r="C10" s="226" t="s">
        <v>268</v>
      </c>
    </row>
    <row r="11" spans="1:3" ht="12.75">
      <c r="A11" s="225">
        <v>2</v>
      </c>
      <c r="B11" s="231" t="s">
        <v>269</v>
      </c>
      <c r="C11" s="226" t="s">
        <v>435</v>
      </c>
    </row>
    <row r="12" spans="1:3" ht="12.75">
      <c r="A12" s="225">
        <v>3</v>
      </c>
      <c r="B12" s="231" t="s">
        <v>271</v>
      </c>
      <c r="C12" s="226" t="s">
        <v>272</v>
      </c>
    </row>
    <row r="13" spans="1:3" ht="25.5">
      <c r="A13" s="225">
        <v>4</v>
      </c>
      <c r="B13" s="231" t="s">
        <v>273</v>
      </c>
      <c r="C13" s="226" t="s">
        <v>274</v>
      </c>
    </row>
    <row r="14" spans="1:3" ht="12.75">
      <c r="A14" s="225">
        <v>5</v>
      </c>
      <c r="B14" s="231" t="s">
        <v>275</v>
      </c>
      <c r="C14" s="226" t="s">
        <v>276</v>
      </c>
    </row>
    <row r="15" spans="1:3" ht="12.75">
      <c r="A15" s="225">
        <v>6</v>
      </c>
      <c r="B15" s="231" t="s">
        <v>277</v>
      </c>
      <c r="C15" s="226" t="s">
        <v>278</v>
      </c>
    </row>
    <row r="16" spans="1:3" ht="12.75">
      <c r="A16" s="225">
        <v>7</v>
      </c>
      <c r="B16" s="231" t="s">
        <v>279</v>
      </c>
      <c r="C16" s="226" t="s">
        <v>280</v>
      </c>
    </row>
    <row r="17" spans="1:3" ht="25.5" customHeight="1">
      <c r="A17" s="225">
        <v>8</v>
      </c>
      <c r="B17" s="231" t="s">
        <v>281</v>
      </c>
      <c r="C17" s="226" t="s">
        <v>282</v>
      </c>
    </row>
    <row r="18" spans="1:3" ht="12.75">
      <c r="A18" s="225">
        <v>9</v>
      </c>
      <c r="B18" s="231" t="s">
        <v>283</v>
      </c>
      <c r="C18" s="226" t="s">
        <v>284</v>
      </c>
    </row>
    <row r="19" spans="1:3" ht="25.5">
      <c r="A19" s="225">
        <v>10</v>
      </c>
      <c r="B19" s="231" t="s">
        <v>285</v>
      </c>
      <c r="C19" s="226" t="s">
        <v>286</v>
      </c>
    </row>
    <row r="20" spans="1:3" ht="12.75">
      <c r="A20" s="225">
        <v>11</v>
      </c>
      <c r="B20" s="231" t="s">
        <v>287</v>
      </c>
      <c r="C20" s="226" t="s">
        <v>288</v>
      </c>
    </row>
    <row r="21" spans="1:3" ht="12.75">
      <c r="A21" s="225">
        <v>12</v>
      </c>
      <c r="B21" s="231" t="s">
        <v>289</v>
      </c>
      <c r="C21" s="226" t="s">
        <v>290</v>
      </c>
    </row>
    <row r="22" spans="1:3" ht="12.75">
      <c r="A22" s="225">
        <v>13</v>
      </c>
      <c r="B22" s="231" t="s">
        <v>291</v>
      </c>
      <c r="C22" s="226" t="s">
        <v>292</v>
      </c>
    </row>
    <row r="23" spans="1:3" ht="12.75">
      <c r="A23" s="225">
        <v>14</v>
      </c>
      <c r="B23" s="231" t="s">
        <v>293</v>
      </c>
      <c r="C23" s="226" t="s">
        <v>294</v>
      </c>
    </row>
    <row r="24" spans="1:3" ht="12.75">
      <c r="A24" s="225">
        <v>15</v>
      </c>
      <c r="B24" s="231" t="s">
        <v>436</v>
      </c>
      <c r="C24" s="226" t="s">
        <v>437</v>
      </c>
    </row>
    <row r="25" spans="1:3" ht="12.75">
      <c r="A25" s="225">
        <v>16</v>
      </c>
      <c r="B25" s="231" t="s">
        <v>295</v>
      </c>
      <c r="C25" s="226" t="s">
        <v>296</v>
      </c>
    </row>
    <row r="27" ht="12.75">
      <c r="A27" s="316" t="s">
        <v>440</v>
      </c>
    </row>
  </sheetData>
  <mergeCells count="1">
    <mergeCell ref="A5:D5"/>
  </mergeCells>
  <hyperlinks>
    <hyperlink ref="B23" location="Graphs!A1" display="Graphs!A1"/>
    <hyperlink ref="B10" location="Assumptions!A1" display="Assumptions!A1"/>
    <hyperlink ref="B11" location="'Tariffs&amp;Usage'!A1" display="'Tariffs&amp;Usage'!A1"/>
    <hyperlink ref="B12" location="MoBillGraph!A1" display="MoBillGraph!A1"/>
    <hyperlink ref="B13" location="Demand!A1" display="Demand!A1"/>
    <hyperlink ref="B14" location="CapEqtCosts!A1" display="CapEqtCosts!A1"/>
    <hyperlink ref="B15" location="CapEx!A1" display="CapEx!A1"/>
    <hyperlink ref="B16" location="OpEx!A1" display="OpEx!A1"/>
    <hyperlink ref="B17" location="'P&amp;L'!A1" display="'P&amp;L'!A1"/>
    <hyperlink ref="B18" location="BalSheet!A1" display="BalSheet!A1"/>
    <hyperlink ref="B19" location="CashFlow!A1" display="CashFlow!A1"/>
    <hyperlink ref="B20" location="Depr!A1" display="Depr!A1"/>
    <hyperlink ref="B21" location="Ratios!A1" display="Ratios!A1"/>
    <hyperlink ref="B22" location="Valuation!A1" display="Valuation!A1"/>
    <hyperlink ref="B25" location="TOC!A1" display="TOC!A1"/>
    <hyperlink ref="B24" location="Documentation!A1" display="Documentation"/>
  </hyperlinks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75"/>
  <sheetViews>
    <sheetView workbookViewId="0" topLeftCell="A1">
      <selection activeCell="A1" sqref="A1"/>
    </sheetView>
  </sheetViews>
  <sheetFormatPr defaultColWidth="9.00390625" defaultRowHeight="12.75"/>
  <cols>
    <col min="1" max="1" width="15.125" style="101" customWidth="1"/>
    <col min="2" max="2" width="6.625" style="101" customWidth="1"/>
    <col min="3" max="3" width="8.375" style="101" customWidth="1"/>
    <col min="4" max="4" width="8.25390625" style="101" customWidth="1"/>
    <col min="5" max="7" width="6.625" style="101" customWidth="1"/>
    <col min="8" max="12" width="6.125" style="101" customWidth="1"/>
    <col min="13" max="17" width="6.625" style="101" customWidth="1"/>
    <col min="18" max="18" width="6.625" style="0" customWidth="1"/>
  </cols>
  <sheetData>
    <row r="1" spans="1:17" s="15" customFormat="1" ht="12">
      <c r="A1" s="65" t="s">
        <v>219</v>
      </c>
      <c r="B1" s="13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5" customFormat="1" ht="12">
      <c r="A2" s="12" t="s">
        <v>359</v>
      </c>
      <c r="B2" s="136">
        <f>Assumptions!B38</f>
        <v>137.4336673734971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5" customFormat="1" ht="12">
      <c r="A3" s="12" t="s">
        <v>364</v>
      </c>
      <c r="B3" s="129">
        <v>0.75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5" customFormat="1" ht="12">
      <c r="A4" s="12" t="s">
        <v>365</v>
      </c>
      <c r="B4" s="129">
        <v>0.15</v>
      </c>
      <c r="C4" s="12"/>
      <c r="D4" s="12"/>
      <c r="E4" s="12"/>
      <c r="F4" s="12"/>
      <c r="G4" s="130"/>
      <c r="H4" s="130"/>
      <c r="I4" s="12"/>
      <c r="J4" s="12"/>
      <c r="K4" s="12"/>
      <c r="L4" s="12"/>
      <c r="M4" s="12"/>
      <c r="N4" s="12"/>
      <c r="O4" s="12"/>
      <c r="P4" s="12"/>
      <c r="Q4" s="12"/>
    </row>
    <row r="5" spans="1:17" s="15" customFormat="1" ht="12">
      <c r="A5" s="12" t="s">
        <v>366</v>
      </c>
      <c r="B5" s="129">
        <v>0.1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5" customFormat="1" ht="12">
      <c r="A6" s="12" t="s">
        <v>367</v>
      </c>
      <c r="B6" s="264">
        <f>Assumptions!B34/Assumptions!B33</f>
        <v>0.875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5" customFormat="1" ht="12">
      <c r="A7" s="12"/>
      <c r="B7" s="13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5" customFormat="1" ht="12">
      <c r="A8" s="12"/>
      <c r="B8" s="13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" customFormat="1" ht="12">
      <c r="A9" s="14"/>
      <c r="B9" s="13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15" customFormat="1" ht="12">
      <c r="A10" s="65" t="s">
        <v>220</v>
      </c>
      <c r="B10" s="12"/>
      <c r="C10" s="12"/>
      <c r="D10" s="12"/>
      <c r="E10" s="12"/>
      <c r="F10" s="12"/>
      <c r="G10" s="289">
        <f>Assumptions!B7-1</f>
        <v>1998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5" customFormat="1" ht="24">
      <c r="A11" s="69" t="s">
        <v>221</v>
      </c>
      <c r="B11" s="69" t="s">
        <v>222</v>
      </c>
      <c r="C11" s="69" t="s">
        <v>223</v>
      </c>
      <c r="D11" s="133" t="s">
        <v>224</v>
      </c>
      <c r="E11" s="133" t="s">
        <v>225</v>
      </c>
      <c r="F11" s="134" t="s">
        <v>226</v>
      </c>
      <c r="G11" s="133" t="s">
        <v>408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5" customFormat="1" ht="12">
      <c r="A12" s="12" t="s">
        <v>352</v>
      </c>
      <c r="B12" s="12" t="s">
        <v>353</v>
      </c>
      <c r="C12" s="12" t="s">
        <v>227</v>
      </c>
      <c r="D12" s="135">
        <v>50</v>
      </c>
      <c r="E12" s="12"/>
      <c r="F12" s="137"/>
      <c r="G12" s="68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12">
      <c r="A13" s="12" t="s">
        <v>228</v>
      </c>
      <c r="B13" s="12" t="s">
        <v>354</v>
      </c>
      <c r="C13" s="12" t="s">
        <v>20</v>
      </c>
      <c r="D13" s="135">
        <v>10</v>
      </c>
      <c r="E13" s="12"/>
      <c r="F13" s="137"/>
      <c r="G13" s="285">
        <f>D13</f>
        <v>10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5" customFormat="1" ht="12">
      <c r="A14" s="12" t="s">
        <v>360</v>
      </c>
      <c r="B14" s="12" t="s">
        <v>355</v>
      </c>
      <c r="C14" s="12" t="s">
        <v>229</v>
      </c>
      <c r="D14" s="135">
        <v>0.1</v>
      </c>
      <c r="E14" s="136">
        <f>B2*B3*B6</f>
        <v>90.19084421385746</v>
      </c>
      <c r="F14" s="137">
        <f>E14/$E$19</f>
        <v>0.65625</v>
      </c>
      <c r="G14" s="285">
        <f>D14*E14</f>
        <v>9.019084421385747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5" customFormat="1" ht="12">
      <c r="A15" s="12" t="s">
        <v>361</v>
      </c>
      <c r="B15" s="12" t="s">
        <v>357</v>
      </c>
      <c r="C15" s="12" t="s">
        <v>229</v>
      </c>
      <c r="D15" s="135">
        <v>0.05</v>
      </c>
      <c r="E15" s="136">
        <f>B2*B3*(1-B6)</f>
        <v>12.884406316265352</v>
      </c>
      <c r="F15" s="137">
        <f>E15/$E$19</f>
        <v>0.09375</v>
      </c>
      <c r="G15" s="285">
        <f>D15*E15</f>
        <v>0.6442203158132677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5" customFormat="1" ht="12">
      <c r="A16" s="12" t="s">
        <v>356</v>
      </c>
      <c r="B16" s="12" t="s">
        <v>362</v>
      </c>
      <c r="C16" s="12" t="s">
        <v>229</v>
      </c>
      <c r="D16" s="135">
        <v>0.25</v>
      </c>
      <c r="E16" s="136">
        <f>B2*B4</f>
        <v>20.61505010602456</v>
      </c>
      <c r="F16" s="137">
        <f>E16/$E$19</f>
        <v>0.15</v>
      </c>
      <c r="G16" s="285">
        <f>D16*E16</f>
        <v>5.15376252650614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5" customFormat="1" ht="12">
      <c r="A17" s="12" t="s">
        <v>358</v>
      </c>
      <c r="B17" s="12" t="s">
        <v>363</v>
      </c>
      <c r="C17" s="12" t="s">
        <v>229</v>
      </c>
      <c r="D17" s="135">
        <v>1</v>
      </c>
      <c r="E17" s="136">
        <f>B2*B5</f>
        <v>13.74336673734971</v>
      </c>
      <c r="F17" s="137">
        <f>E17/$E$19</f>
        <v>0.1</v>
      </c>
      <c r="G17" s="285">
        <f>D17*E17</f>
        <v>13.74336673734971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5" customFormat="1" ht="12">
      <c r="A18" s="12"/>
      <c r="B18" s="12"/>
      <c r="C18" s="12"/>
      <c r="D18" s="135"/>
      <c r="E18" s="136"/>
      <c r="F18" s="12"/>
      <c r="G18" s="267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5" customFormat="1" ht="12">
      <c r="A19" s="106" t="s">
        <v>368</v>
      </c>
      <c r="B19" s="12"/>
      <c r="C19" s="12"/>
      <c r="D19" s="12"/>
      <c r="E19" s="286">
        <f>$B$2</f>
        <v>137.4336673734971</v>
      </c>
      <c r="F19" s="265">
        <f>SUM(F14:F17)</f>
        <v>1</v>
      </c>
      <c r="G19" s="287">
        <f>SUM(G13:G18)</f>
        <v>38.560434001054865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5" customFormat="1" ht="12">
      <c r="A20" s="266"/>
      <c r="B20" s="68"/>
      <c r="C20" s="68"/>
      <c r="D20" s="68"/>
      <c r="E20" s="138"/>
      <c r="F20" s="68"/>
      <c r="G20" s="68"/>
      <c r="H20" s="68"/>
      <c r="I20" s="68"/>
      <c r="J20" s="12"/>
      <c r="K20" s="12"/>
      <c r="L20" s="12"/>
      <c r="M20" s="12"/>
      <c r="N20" s="12"/>
      <c r="O20" s="12"/>
      <c r="P20" s="12"/>
      <c r="Q20" s="12"/>
    </row>
    <row r="21" spans="1:17" s="15" customFormat="1" ht="12">
      <c r="A21" s="68"/>
      <c r="B21" s="68"/>
      <c r="C21" s="68"/>
      <c r="D21" s="68"/>
      <c r="E21" s="138"/>
      <c r="F21" s="68"/>
      <c r="G21" s="68"/>
      <c r="H21" s="68"/>
      <c r="I21" s="68"/>
      <c r="J21" s="12"/>
      <c r="K21" s="12"/>
      <c r="L21" s="12"/>
      <c r="M21" s="12"/>
      <c r="N21" s="12"/>
      <c r="O21" s="12"/>
      <c r="P21" s="12"/>
      <c r="Q21" s="12"/>
    </row>
    <row r="22" spans="1:17" s="15" customFormat="1" ht="12">
      <c r="A22" s="143" t="s">
        <v>369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38"/>
      <c r="L22" s="138"/>
      <c r="M22" s="138"/>
      <c r="N22" s="144"/>
      <c r="O22" s="144"/>
      <c r="P22" s="68"/>
      <c r="Q22" s="68"/>
    </row>
    <row r="23" spans="1:17" s="15" customFormat="1" ht="12">
      <c r="A23" s="104" t="s">
        <v>370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15" customFormat="1" ht="24">
      <c r="A24" s="12"/>
      <c r="B24" s="12" t="s">
        <v>371</v>
      </c>
      <c r="C24" s="133" t="str">
        <f>D11</f>
        <v>Standard Plan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5" customFormat="1" ht="12">
      <c r="A25" s="12"/>
      <c r="B25" s="12">
        <v>0</v>
      </c>
      <c r="C25" s="267">
        <f>$D$13+($F$14*$D$14+$F$15*$D$15+$F$16*$D$16+$F$17*$D$17)*B25</f>
        <v>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5" customFormat="1" ht="12">
      <c r="A26" s="12"/>
      <c r="B26" s="12">
        <v>10</v>
      </c>
      <c r="C26" s="267">
        <f aca="true" t="shared" si="0" ref="C26:C75">$D$13+($F$14*$D$14+$F$15*$D$15+$F$16*$D$16+$F$17*$D$17)*B26</f>
        <v>12.078125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5" customFormat="1" ht="12">
      <c r="A27" s="12"/>
      <c r="B27" s="12">
        <v>20</v>
      </c>
      <c r="C27" s="267">
        <f t="shared" si="0"/>
        <v>14.15625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5" customFormat="1" ht="12">
      <c r="A28" s="12"/>
      <c r="B28" s="12">
        <v>30</v>
      </c>
      <c r="C28" s="267">
        <f t="shared" si="0"/>
        <v>16.234375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5" customFormat="1" ht="12">
      <c r="A29" s="12"/>
      <c r="B29" s="12">
        <v>40</v>
      </c>
      <c r="C29" s="267">
        <f t="shared" si="0"/>
        <v>18.3125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3" ht="12.75">
      <c r="B30" s="12">
        <v>50</v>
      </c>
      <c r="C30" s="267">
        <f t="shared" si="0"/>
        <v>20.390625</v>
      </c>
    </row>
    <row r="31" spans="2:3" ht="12.75">
      <c r="B31" s="12">
        <v>60</v>
      </c>
      <c r="C31" s="267">
        <f t="shared" si="0"/>
        <v>22.46875</v>
      </c>
    </row>
    <row r="32" spans="2:3" ht="12.75">
      <c r="B32" s="12">
        <v>70</v>
      </c>
      <c r="C32" s="267">
        <f t="shared" si="0"/>
        <v>24.546875</v>
      </c>
    </row>
    <row r="33" spans="2:3" ht="12.75">
      <c r="B33" s="12">
        <v>80</v>
      </c>
      <c r="C33" s="267">
        <f t="shared" si="0"/>
        <v>26.625</v>
      </c>
    </row>
    <row r="34" spans="2:3" ht="12.75">
      <c r="B34" s="12">
        <v>90</v>
      </c>
      <c r="C34" s="267">
        <f t="shared" si="0"/>
        <v>28.703125</v>
      </c>
    </row>
    <row r="35" spans="2:3" ht="12.75">
      <c r="B35" s="12">
        <v>100</v>
      </c>
      <c r="C35" s="267">
        <f t="shared" si="0"/>
        <v>30.78125</v>
      </c>
    </row>
    <row r="36" spans="2:3" ht="12.75">
      <c r="B36" s="12">
        <v>110</v>
      </c>
      <c r="C36" s="267">
        <f t="shared" si="0"/>
        <v>32.859375</v>
      </c>
    </row>
    <row r="37" spans="2:3" ht="12.75">
      <c r="B37" s="12">
        <v>120</v>
      </c>
      <c r="C37" s="267">
        <f t="shared" si="0"/>
        <v>34.9375</v>
      </c>
    </row>
    <row r="38" spans="2:3" ht="12.75">
      <c r="B38" s="12">
        <v>130</v>
      </c>
      <c r="C38" s="267">
        <f t="shared" si="0"/>
        <v>37.015625</v>
      </c>
    </row>
    <row r="39" spans="2:3" ht="12.75">
      <c r="B39" s="12">
        <v>140</v>
      </c>
      <c r="C39" s="267">
        <f t="shared" si="0"/>
        <v>39.09375</v>
      </c>
    </row>
    <row r="40" spans="2:3" ht="12.75">
      <c r="B40" s="12">
        <v>150</v>
      </c>
      <c r="C40" s="267">
        <f t="shared" si="0"/>
        <v>41.171875</v>
      </c>
    </row>
    <row r="41" spans="2:3" ht="12.75">
      <c r="B41" s="12">
        <v>160</v>
      </c>
      <c r="C41" s="267">
        <f t="shared" si="0"/>
        <v>43.25</v>
      </c>
    </row>
    <row r="42" spans="2:3" ht="12.75">
      <c r="B42" s="12">
        <v>170</v>
      </c>
      <c r="C42" s="267">
        <f t="shared" si="0"/>
        <v>45.328125</v>
      </c>
    </row>
    <row r="43" spans="2:3" ht="12.75">
      <c r="B43" s="12">
        <v>180</v>
      </c>
      <c r="C43" s="267">
        <f t="shared" si="0"/>
        <v>47.40625</v>
      </c>
    </row>
    <row r="44" spans="2:3" ht="12.75">
      <c r="B44" s="12">
        <v>190</v>
      </c>
      <c r="C44" s="267">
        <f t="shared" si="0"/>
        <v>49.484375</v>
      </c>
    </row>
    <row r="45" spans="2:3" ht="12.75">
      <c r="B45" s="12">
        <v>200</v>
      </c>
      <c r="C45" s="267">
        <f t="shared" si="0"/>
        <v>51.5625</v>
      </c>
    </row>
    <row r="46" spans="2:3" ht="12.75">
      <c r="B46" s="12">
        <v>210</v>
      </c>
      <c r="C46" s="267">
        <f t="shared" si="0"/>
        <v>53.640625</v>
      </c>
    </row>
    <row r="47" spans="2:3" ht="12.75">
      <c r="B47" s="12">
        <v>220</v>
      </c>
      <c r="C47" s="267">
        <f t="shared" si="0"/>
        <v>55.71875</v>
      </c>
    </row>
    <row r="48" spans="2:3" ht="12.75">
      <c r="B48" s="12">
        <v>230</v>
      </c>
      <c r="C48" s="267">
        <f t="shared" si="0"/>
        <v>57.796875</v>
      </c>
    </row>
    <row r="49" spans="2:3" ht="12.75">
      <c r="B49" s="12">
        <v>240</v>
      </c>
      <c r="C49" s="267">
        <f t="shared" si="0"/>
        <v>59.875</v>
      </c>
    </row>
    <row r="50" spans="2:3" ht="12.75">
      <c r="B50" s="12">
        <v>250</v>
      </c>
      <c r="C50" s="267">
        <f t="shared" si="0"/>
        <v>61.953125</v>
      </c>
    </row>
    <row r="51" spans="2:3" ht="12.75">
      <c r="B51" s="12">
        <v>260</v>
      </c>
      <c r="C51" s="267">
        <f t="shared" si="0"/>
        <v>64.03125</v>
      </c>
    </row>
    <row r="52" spans="2:3" ht="12.75">
      <c r="B52" s="12">
        <v>270</v>
      </c>
      <c r="C52" s="267">
        <f t="shared" si="0"/>
        <v>66.109375</v>
      </c>
    </row>
    <row r="53" spans="2:3" ht="12.75">
      <c r="B53" s="12">
        <v>280</v>
      </c>
      <c r="C53" s="267">
        <f t="shared" si="0"/>
        <v>68.1875</v>
      </c>
    </row>
    <row r="54" spans="2:3" ht="12.75">
      <c r="B54" s="12">
        <v>290</v>
      </c>
      <c r="C54" s="267">
        <f t="shared" si="0"/>
        <v>70.265625</v>
      </c>
    </row>
    <row r="55" spans="2:3" ht="12.75">
      <c r="B55" s="12">
        <v>300</v>
      </c>
      <c r="C55" s="267">
        <f t="shared" si="0"/>
        <v>72.34375</v>
      </c>
    </row>
    <row r="56" spans="2:3" ht="12.75">
      <c r="B56" s="12">
        <v>310</v>
      </c>
      <c r="C56" s="267">
        <f t="shared" si="0"/>
        <v>74.421875</v>
      </c>
    </row>
    <row r="57" spans="2:3" ht="12.75">
      <c r="B57" s="12">
        <v>320</v>
      </c>
      <c r="C57" s="267">
        <f t="shared" si="0"/>
        <v>76.5</v>
      </c>
    </row>
    <row r="58" spans="2:3" ht="12.75">
      <c r="B58" s="12">
        <v>330</v>
      </c>
      <c r="C58" s="267">
        <f t="shared" si="0"/>
        <v>78.578125</v>
      </c>
    </row>
    <row r="59" spans="2:3" ht="12.75">
      <c r="B59" s="12">
        <v>340</v>
      </c>
      <c r="C59" s="267">
        <f t="shared" si="0"/>
        <v>80.65625</v>
      </c>
    </row>
    <row r="60" spans="2:3" ht="12.75">
      <c r="B60" s="12">
        <v>350</v>
      </c>
      <c r="C60" s="267">
        <f t="shared" si="0"/>
        <v>82.734375</v>
      </c>
    </row>
    <row r="61" spans="2:3" ht="12.75">
      <c r="B61" s="12">
        <v>360</v>
      </c>
      <c r="C61" s="267">
        <f t="shared" si="0"/>
        <v>84.8125</v>
      </c>
    </row>
    <row r="62" spans="2:3" ht="12.75">
      <c r="B62" s="12">
        <v>370</v>
      </c>
      <c r="C62" s="267">
        <f t="shared" si="0"/>
        <v>86.890625</v>
      </c>
    </row>
    <row r="63" spans="2:3" ht="12.75">
      <c r="B63" s="12">
        <v>380</v>
      </c>
      <c r="C63" s="267">
        <f t="shared" si="0"/>
        <v>88.96875</v>
      </c>
    </row>
    <row r="64" spans="2:3" ht="12.75">
      <c r="B64" s="12">
        <v>390</v>
      </c>
      <c r="C64" s="267">
        <f t="shared" si="0"/>
        <v>91.046875</v>
      </c>
    </row>
    <row r="65" spans="2:3" ht="12.75">
      <c r="B65" s="12">
        <v>400</v>
      </c>
      <c r="C65" s="267">
        <f t="shared" si="0"/>
        <v>93.125</v>
      </c>
    </row>
    <row r="66" spans="2:3" ht="12.75">
      <c r="B66" s="12">
        <v>410</v>
      </c>
      <c r="C66" s="267">
        <f t="shared" si="0"/>
        <v>95.203125</v>
      </c>
    </row>
    <row r="67" spans="2:3" ht="12.75">
      <c r="B67" s="12">
        <v>420</v>
      </c>
      <c r="C67" s="267">
        <f t="shared" si="0"/>
        <v>97.28125</v>
      </c>
    </row>
    <row r="68" spans="2:3" ht="12.75">
      <c r="B68" s="12">
        <v>430</v>
      </c>
      <c r="C68" s="267">
        <f t="shared" si="0"/>
        <v>99.359375</v>
      </c>
    </row>
    <row r="69" spans="2:3" ht="12.75">
      <c r="B69" s="12">
        <v>440</v>
      </c>
      <c r="C69" s="267">
        <f t="shared" si="0"/>
        <v>101.4375</v>
      </c>
    </row>
    <row r="70" spans="2:3" ht="12.75">
      <c r="B70" s="12">
        <v>450</v>
      </c>
      <c r="C70" s="267">
        <f t="shared" si="0"/>
        <v>103.515625</v>
      </c>
    </row>
    <row r="71" spans="2:3" ht="12.75">
      <c r="B71" s="12">
        <v>460</v>
      </c>
      <c r="C71" s="267">
        <f t="shared" si="0"/>
        <v>105.59375</v>
      </c>
    </row>
    <row r="72" spans="2:3" ht="12.75">
      <c r="B72" s="12">
        <v>470</v>
      </c>
      <c r="C72" s="267">
        <f t="shared" si="0"/>
        <v>107.671875</v>
      </c>
    </row>
    <row r="73" spans="2:3" ht="12.75">
      <c r="B73" s="12">
        <v>480</v>
      </c>
      <c r="C73" s="267">
        <f t="shared" si="0"/>
        <v>109.75</v>
      </c>
    </row>
    <row r="74" spans="2:3" ht="12.75">
      <c r="B74" s="12">
        <v>490</v>
      </c>
      <c r="C74" s="267">
        <f t="shared" si="0"/>
        <v>111.828125</v>
      </c>
    </row>
    <row r="75" spans="2:3" ht="12.75">
      <c r="B75" s="12">
        <v>500</v>
      </c>
      <c r="C75" s="267">
        <f t="shared" si="0"/>
        <v>113.90625</v>
      </c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2.75"/>
  <sheetData/>
  <printOptions horizontalCentered="1" verticalCentered="1"/>
  <pageMargins left="0.75" right="0.75" top="0.75" bottom="0.75" header="0.5" footer="0.5"/>
  <pageSetup horizontalDpi="600" verticalDpi="600" orientation="landscape" r:id="rId2"/>
  <headerFooter alignWithMargins="0">
    <oddHeader>&amp;LYale M. Braunstein&amp;C&amp;A</oddHeader>
    <oddFooter>&amp;LPrint date: &amp;D&amp;CTelecom Financial Model&amp;RPage &amp;P</oddFooter>
  </headerFooter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120"/>
  <sheetViews>
    <sheetView workbookViewId="0" topLeftCell="A1">
      <selection activeCell="B4" sqref="B4:D6"/>
    </sheetView>
  </sheetViews>
  <sheetFormatPr defaultColWidth="9.00390625" defaultRowHeight="12.75"/>
  <cols>
    <col min="1" max="1" width="22.75390625" style="101" customWidth="1"/>
    <col min="2" max="2" width="8.625" style="101" customWidth="1"/>
    <col min="3" max="3" width="7.625" style="101" customWidth="1"/>
    <col min="4" max="4" width="8.875" style="101" customWidth="1"/>
    <col min="5" max="12" width="7.625" style="101" customWidth="1"/>
  </cols>
  <sheetData>
    <row r="1" spans="1:13" s="30" customFormat="1" ht="12.75">
      <c r="A1" s="149" t="s">
        <v>34</v>
      </c>
      <c r="B1" s="12"/>
      <c r="C1" s="75"/>
      <c r="D1" s="84"/>
      <c r="E1" s="75"/>
      <c r="F1" s="75"/>
      <c r="G1" s="75"/>
      <c r="H1" s="75"/>
      <c r="I1" s="75"/>
      <c r="J1" s="75"/>
      <c r="K1" s="75"/>
      <c r="L1" s="75"/>
      <c r="M1" s="21"/>
    </row>
    <row r="2" spans="1:13" s="30" customFormat="1" ht="12.75">
      <c r="A2" s="81"/>
      <c r="B2" s="75"/>
      <c r="C2" s="75"/>
      <c r="D2" s="84"/>
      <c r="E2" s="75"/>
      <c r="F2" s="257" t="s">
        <v>205</v>
      </c>
      <c r="G2" s="75"/>
      <c r="H2" s="75"/>
      <c r="I2" s="75"/>
      <c r="J2" s="75"/>
      <c r="K2" s="75"/>
      <c r="L2" s="75"/>
      <c r="M2" s="21"/>
    </row>
    <row r="3" spans="1:13" s="30" customFormat="1" ht="24">
      <c r="A3" s="110" t="s">
        <v>378</v>
      </c>
      <c r="B3" s="268" t="s">
        <v>379</v>
      </c>
      <c r="C3" s="268" t="s">
        <v>380</v>
      </c>
      <c r="D3" s="268" t="s">
        <v>384</v>
      </c>
      <c r="E3" s="75"/>
      <c r="F3" s="257"/>
      <c r="G3" s="75"/>
      <c r="H3" s="75"/>
      <c r="I3" s="75"/>
      <c r="J3" s="75"/>
      <c r="K3" s="75"/>
      <c r="L3" s="75"/>
      <c r="M3" s="21"/>
    </row>
    <row r="4" spans="1:13" s="30" customFormat="1" ht="12.75">
      <c r="A4" s="262" t="s">
        <v>381</v>
      </c>
      <c r="B4" s="314">
        <v>0.05</v>
      </c>
      <c r="C4" s="314">
        <v>-0.02</v>
      </c>
      <c r="D4" s="314">
        <v>0.03</v>
      </c>
      <c r="E4" s="75"/>
      <c r="F4" s="257"/>
      <c r="G4" s="75"/>
      <c r="H4" s="75"/>
      <c r="I4" s="75"/>
      <c r="J4" s="75"/>
      <c r="K4" s="75"/>
      <c r="L4" s="75"/>
      <c r="M4" s="21"/>
    </row>
    <row r="5" spans="1:13" s="30" customFormat="1" ht="12.75">
      <c r="A5" s="262" t="s">
        <v>374</v>
      </c>
      <c r="B5" s="314">
        <v>0.06</v>
      </c>
      <c r="C5" s="314">
        <v>-0.02</v>
      </c>
      <c r="D5" s="314">
        <v>0.03</v>
      </c>
      <c r="E5" s="75"/>
      <c r="F5" s="257"/>
      <c r="G5" s="75"/>
      <c r="H5" s="75"/>
      <c r="I5" s="75"/>
      <c r="J5" s="75"/>
      <c r="K5" s="75"/>
      <c r="L5" s="75"/>
      <c r="M5" s="21"/>
    </row>
    <row r="6" spans="1:13" s="30" customFormat="1" ht="12.75">
      <c r="A6" s="262" t="s">
        <v>375</v>
      </c>
      <c r="B6" s="314">
        <v>-0.01</v>
      </c>
      <c r="C6" s="314">
        <v>0</v>
      </c>
      <c r="D6" s="314">
        <v>0.03</v>
      </c>
      <c r="E6" s="75"/>
      <c r="F6" s="257"/>
      <c r="G6" s="75"/>
      <c r="H6" s="75"/>
      <c r="I6" s="75"/>
      <c r="J6" s="75"/>
      <c r="K6" s="75"/>
      <c r="L6" s="75"/>
      <c r="M6" s="21"/>
    </row>
    <row r="7" spans="1:13" s="30" customFormat="1" ht="12.75">
      <c r="A7" s="81"/>
      <c r="B7" s="75"/>
      <c r="C7" s="75"/>
      <c r="D7" s="84"/>
      <c r="E7" s="75"/>
      <c r="F7" s="257"/>
      <c r="G7" s="75"/>
      <c r="H7" s="75"/>
      <c r="I7" s="75"/>
      <c r="J7" s="75"/>
      <c r="K7" s="75"/>
      <c r="L7" s="75"/>
      <c r="M7" s="21"/>
    </row>
    <row r="8" spans="1:13" s="30" customFormat="1" ht="12.75">
      <c r="A8" s="110" t="s">
        <v>392</v>
      </c>
      <c r="B8" s="277">
        <v>10</v>
      </c>
      <c r="C8" s="75"/>
      <c r="D8" s="84"/>
      <c r="E8" s="75"/>
      <c r="F8" s="257"/>
      <c r="G8" s="75"/>
      <c r="H8" s="75"/>
      <c r="I8" s="75"/>
      <c r="J8" s="75"/>
      <c r="K8" s="75"/>
      <c r="L8" s="75"/>
      <c r="M8" s="21"/>
    </row>
    <row r="9" spans="1:13" s="30" customFormat="1" ht="12.75">
      <c r="A9" s="110"/>
      <c r="B9" s="277"/>
      <c r="C9" s="75"/>
      <c r="D9" s="84"/>
      <c r="E9" s="75"/>
      <c r="F9" s="257"/>
      <c r="G9" s="75"/>
      <c r="H9" s="75"/>
      <c r="I9" s="75"/>
      <c r="J9" s="75"/>
      <c r="K9" s="75"/>
      <c r="L9" s="75"/>
      <c r="M9" s="21"/>
    </row>
    <row r="10" spans="1:13" s="30" customFormat="1" ht="12.75">
      <c r="A10" s="110" t="s">
        <v>400</v>
      </c>
      <c r="B10" s="277">
        <v>100</v>
      </c>
      <c r="C10" s="75"/>
      <c r="D10" s="84"/>
      <c r="E10" s="75"/>
      <c r="F10" s="257"/>
      <c r="G10" s="75"/>
      <c r="H10" s="75"/>
      <c r="I10" s="75"/>
      <c r="J10" s="75"/>
      <c r="K10" s="75"/>
      <c r="L10" s="75"/>
      <c r="M10" s="21"/>
    </row>
    <row r="11" spans="1:13" s="30" customFormat="1" ht="12.75">
      <c r="A11" s="110" t="s">
        <v>401</v>
      </c>
      <c r="B11" s="283">
        <f>Assumptions!B40</f>
        <v>1496.825993555317</v>
      </c>
      <c r="C11" s="75"/>
      <c r="D11" s="84"/>
      <c r="E11" s="75"/>
      <c r="F11" s="257"/>
      <c r="G11" s="75"/>
      <c r="H11" s="75"/>
      <c r="I11" s="75"/>
      <c r="J11" s="75"/>
      <c r="K11" s="75"/>
      <c r="L11" s="75"/>
      <c r="M11" s="21"/>
    </row>
    <row r="12" spans="1:13" s="30" customFormat="1" ht="12.75">
      <c r="A12" s="81"/>
      <c r="B12" s="75"/>
      <c r="C12" s="75"/>
      <c r="D12" s="84"/>
      <c r="E12" s="75"/>
      <c r="F12" s="257"/>
      <c r="G12" s="75"/>
      <c r="H12" s="75"/>
      <c r="I12" s="75"/>
      <c r="J12" s="75"/>
      <c r="K12" s="75"/>
      <c r="L12" s="75"/>
      <c r="M12" s="21"/>
    </row>
    <row r="13" spans="1:13" s="30" customFormat="1" ht="12.75">
      <c r="A13" s="81"/>
      <c r="B13" s="75"/>
      <c r="C13" s="75"/>
      <c r="D13" s="84"/>
      <c r="E13" s="75"/>
      <c r="F13" s="257"/>
      <c r="G13" s="75"/>
      <c r="H13" s="75"/>
      <c r="I13" s="75"/>
      <c r="J13" s="75"/>
      <c r="K13" s="75"/>
      <c r="L13" s="75"/>
      <c r="M13" s="21"/>
    </row>
    <row r="14" spans="1:13" s="30" customFormat="1" ht="12.75">
      <c r="A14" s="76" t="s">
        <v>35</v>
      </c>
      <c r="B14" s="77">
        <v>0</v>
      </c>
      <c r="C14" s="77">
        <v>1</v>
      </c>
      <c r="D14" s="77">
        <v>2</v>
      </c>
      <c r="E14" s="77">
        <v>3</v>
      </c>
      <c r="F14" s="77">
        <v>4</v>
      </c>
      <c r="G14" s="77">
        <v>5</v>
      </c>
      <c r="H14" s="77">
        <v>6</v>
      </c>
      <c r="I14" s="77">
        <v>7</v>
      </c>
      <c r="J14" s="77">
        <v>8</v>
      </c>
      <c r="K14" s="77">
        <v>9</v>
      </c>
      <c r="L14" s="77">
        <v>10</v>
      </c>
      <c r="M14" s="33"/>
    </row>
    <row r="15" spans="1:13" s="30" customFormat="1" ht="12.75">
      <c r="A15" s="78"/>
      <c r="B15" s="77">
        <f>C15-1</f>
        <v>1998</v>
      </c>
      <c r="C15" s="77">
        <f>Assumptions!B7</f>
        <v>1999</v>
      </c>
      <c r="D15" s="77">
        <f>C15+1</f>
        <v>2000</v>
      </c>
      <c r="E15" s="77">
        <f aca="true" t="shared" si="0" ref="E15:L15">D15+1</f>
        <v>2001</v>
      </c>
      <c r="F15" s="77">
        <f t="shared" si="0"/>
        <v>2002</v>
      </c>
      <c r="G15" s="77">
        <f t="shared" si="0"/>
        <v>2003</v>
      </c>
      <c r="H15" s="77">
        <f t="shared" si="0"/>
        <v>2004</v>
      </c>
      <c r="I15" s="77">
        <f t="shared" si="0"/>
        <v>2005</v>
      </c>
      <c r="J15" s="77">
        <f t="shared" si="0"/>
        <v>2006</v>
      </c>
      <c r="K15" s="77">
        <f t="shared" si="0"/>
        <v>2007</v>
      </c>
      <c r="L15" s="77">
        <f t="shared" si="0"/>
        <v>2008</v>
      </c>
      <c r="M15" s="33"/>
    </row>
    <row r="16" spans="1:13" s="30" customFormat="1" ht="12.75">
      <c r="A16" s="78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</row>
    <row r="17" spans="1:13" s="30" customFormat="1" ht="12.75">
      <c r="A17" s="84" t="s">
        <v>32</v>
      </c>
      <c r="B17" s="150">
        <f>Assumptions!$B$38*(1-Assumptions!$B$39)^B14</f>
        <v>137.4336673734971</v>
      </c>
      <c r="C17" s="150">
        <f>Assumptions!$B$38*(1-Assumptions!$B$39)^C14</f>
        <v>130.56198400482222</v>
      </c>
      <c r="D17" s="150">
        <f>Assumptions!$B$38*(1-Assumptions!$B$39)^D14</f>
        <v>124.03388480458112</v>
      </c>
      <c r="E17" s="150">
        <f>Assumptions!$B$38*(1-Assumptions!$B$39)^E14</f>
        <v>117.83219056435205</v>
      </c>
      <c r="F17" s="150">
        <f>Assumptions!$B$38*(1-Assumptions!$B$39)^F14</f>
        <v>111.94058103613446</v>
      </c>
      <c r="G17" s="150">
        <f>Assumptions!$B$38*(1-Assumptions!$B$39)^G14</f>
        <v>106.34355198432773</v>
      </c>
      <c r="H17" s="150">
        <f>Assumptions!$B$38*(1-Assumptions!$B$39)^H14</f>
        <v>101.02637438511134</v>
      </c>
      <c r="I17" s="150">
        <f>Assumptions!$B$38*(1-Assumptions!$B$39)^I14</f>
        <v>95.97505566585578</v>
      </c>
      <c r="J17" s="150">
        <f>Assumptions!$B$38*(1-Assumptions!$B$39)^J14</f>
        <v>91.176302882563</v>
      </c>
      <c r="K17" s="150">
        <f>Assumptions!$B$38*(1-Assumptions!$B$39)^K14</f>
        <v>86.61748773843483</v>
      </c>
      <c r="L17" s="150">
        <f>Assumptions!$B$38*(1-Assumptions!$B$39)^L14</f>
        <v>82.2866133515131</v>
      </c>
      <c r="M17" s="21"/>
    </row>
    <row r="18" spans="1:13" s="30" customFormat="1" ht="12.75">
      <c r="A18" s="84" t="s">
        <v>36</v>
      </c>
      <c r="B18" s="151" t="s">
        <v>37</v>
      </c>
      <c r="C18" s="152">
        <v>50</v>
      </c>
      <c r="D18" s="31">
        <v>50</v>
      </c>
      <c r="E18" s="31">
        <v>50</v>
      </c>
      <c r="F18" s="31">
        <v>50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21"/>
    </row>
    <row r="19" spans="1:13" s="30" customFormat="1" ht="12.75">
      <c r="A19" s="84" t="s">
        <v>38</v>
      </c>
      <c r="B19" s="75"/>
      <c r="C19" s="153">
        <v>0.05</v>
      </c>
      <c r="D19" s="153">
        <v>0.05</v>
      </c>
      <c r="E19" s="153">
        <v>0.1</v>
      </c>
      <c r="F19" s="153">
        <v>0.1</v>
      </c>
      <c r="G19" s="153">
        <v>0.1</v>
      </c>
      <c r="H19" s="153">
        <v>0.1</v>
      </c>
      <c r="I19" s="153">
        <v>0.1</v>
      </c>
      <c r="J19" s="153">
        <v>0.1</v>
      </c>
      <c r="K19" s="153">
        <v>0.1</v>
      </c>
      <c r="L19" s="153">
        <v>0.1</v>
      </c>
      <c r="M19" s="21"/>
    </row>
    <row r="20" spans="1:13" s="30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1"/>
    </row>
    <row r="21" spans="1:13" s="30" customFormat="1" ht="12.75">
      <c r="A21" s="87" t="s">
        <v>372</v>
      </c>
      <c r="B21" s="75"/>
      <c r="C21" s="75"/>
      <c r="D21" s="75"/>
      <c r="E21" s="75"/>
      <c r="F21" s="179"/>
      <c r="G21" s="75"/>
      <c r="H21" s="75"/>
      <c r="I21" s="75"/>
      <c r="J21" s="75"/>
      <c r="K21" s="75"/>
      <c r="L21" s="75"/>
      <c r="M21" s="21"/>
    </row>
    <row r="22" spans="1:13" s="30" customFormat="1" ht="12.75">
      <c r="A22" s="76" t="s">
        <v>35</v>
      </c>
      <c r="B22" s="77">
        <v>0</v>
      </c>
      <c r="C22" s="77">
        <v>1</v>
      </c>
      <c r="D22" s="77">
        <v>2</v>
      </c>
      <c r="E22" s="77">
        <v>3</v>
      </c>
      <c r="F22" s="77">
        <v>4</v>
      </c>
      <c r="G22" s="77">
        <v>5</v>
      </c>
      <c r="H22" s="77">
        <v>6</v>
      </c>
      <c r="I22" s="77">
        <v>7</v>
      </c>
      <c r="J22" s="77">
        <v>8</v>
      </c>
      <c r="K22" s="77">
        <v>9</v>
      </c>
      <c r="L22" s="77">
        <v>10</v>
      </c>
      <c r="M22" s="33"/>
    </row>
    <row r="23" spans="1:13" s="30" customFormat="1" ht="12.75">
      <c r="A23" s="78"/>
      <c r="B23" s="77">
        <f>C23-1</f>
        <v>1998</v>
      </c>
      <c r="C23" s="77">
        <f>Assumptions!B7</f>
        <v>1999</v>
      </c>
      <c r="D23" s="77">
        <f>C23+1</f>
        <v>2000</v>
      </c>
      <c r="E23" s="77">
        <f aca="true" t="shared" si="1" ref="E23:L23">D23+1</f>
        <v>2001</v>
      </c>
      <c r="F23" s="77">
        <f t="shared" si="1"/>
        <v>2002</v>
      </c>
      <c r="G23" s="77">
        <f t="shared" si="1"/>
        <v>2003</v>
      </c>
      <c r="H23" s="77">
        <f t="shared" si="1"/>
        <v>2004</v>
      </c>
      <c r="I23" s="77">
        <f t="shared" si="1"/>
        <v>2005</v>
      </c>
      <c r="J23" s="77">
        <f t="shared" si="1"/>
        <v>2006</v>
      </c>
      <c r="K23" s="77">
        <f t="shared" si="1"/>
        <v>2007</v>
      </c>
      <c r="L23" s="77">
        <f t="shared" si="1"/>
        <v>2008</v>
      </c>
      <c r="M23" s="33"/>
    </row>
    <row r="24" spans="1:13" s="30" customFormat="1" ht="12.75">
      <c r="A24" s="85" t="s">
        <v>373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21"/>
    </row>
    <row r="25" spans="1:13" s="30" customFormat="1" ht="12.75">
      <c r="A25" s="155" t="str">
        <f>A4</f>
        <v>Captial Region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21"/>
    </row>
    <row r="26" spans="1:13" s="30" customFormat="1" ht="12.75">
      <c r="A26" s="84" t="s">
        <v>382</v>
      </c>
      <c r="B26" s="270">
        <v>2</v>
      </c>
      <c r="C26" s="182">
        <f>B26*(1+$B$4)</f>
        <v>2.1</v>
      </c>
      <c r="D26" s="182">
        <f aca="true" t="shared" si="2" ref="D26:L26">C26*(1+$B$4)</f>
        <v>2.205</v>
      </c>
      <c r="E26" s="182">
        <f t="shared" si="2"/>
        <v>2.3152500000000003</v>
      </c>
      <c r="F26" s="182">
        <f t="shared" si="2"/>
        <v>2.4310125000000005</v>
      </c>
      <c r="G26" s="182">
        <f t="shared" si="2"/>
        <v>2.5525631250000007</v>
      </c>
      <c r="H26" s="182">
        <f t="shared" si="2"/>
        <v>2.680191281250001</v>
      </c>
      <c r="I26" s="182">
        <f t="shared" si="2"/>
        <v>2.814200845312501</v>
      </c>
      <c r="J26" s="182">
        <f t="shared" si="2"/>
        <v>2.954910887578126</v>
      </c>
      <c r="K26" s="182">
        <f t="shared" si="2"/>
        <v>3.1026564319570324</v>
      </c>
      <c r="L26" s="182">
        <f t="shared" si="2"/>
        <v>3.257789253554884</v>
      </c>
      <c r="M26" s="21"/>
    </row>
    <row r="27" spans="1:13" s="30" customFormat="1" ht="12.75">
      <c r="A27" s="84" t="s">
        <v>376</v>
      </c>
      <c r="B27" s="270">
        <v>3.5</v>
      </c>
      <c r="C27" s="182">
        <f>B27*(1+$C$4)</f>
        <v>3.4299999999999997</v>
      </c>
      <c r="D27" s="182">
        <f aca="true" t="shared" si="3" ref="D27:L27">C27*(1+$C$4)</f>
        <v>3.3613999999999997</v>
      </c>
      <c r="E27" s="182">
        <f t="shared" si="3"/>
        <v>3.2941719999999997</v>
      </c>
      <c r="F27" s="182">
        <f t="shared" si="3"/>
        <v>3.2282885599999998</v>
      </c>
      <c r="G27" s="182">
        <f t="shared" si="3"/>
        <v>3.1637227888</v>
      </c>
      <c r="H27" s="182">
        <f t="shared" si="3"/>
        <v>3.100448333024</v>
      </c>
      <c r="I27" s="182">
        <f t="shared" si="3"/>
        <v>3.03843936636352</v>
      </c>
      <c r="J27" s="182">
        <f t="shared" si="3"/>
        <v>2.9776705790362494</v>
      </c>
      <c r="K27" s="182">
        <f t="shared" si="3"/>
        <v>2.918117167455524</v>
      </c>
      <c r="L27" s="182">
        <f t="shared" si="3"/>
        <v>2.8597548241064135</v>
      </c>
      <c r="M27" s="21"/>
    </row>
    <row r="28" spans="1:13" s="30" customFormat="1" ht="12.75">
      <c r="A28" s="84" t="s">
        <v>383</v>
      </c>
      <c r="B28" s="271">
        <f>B26/B27</f>
        <v>0.5714285714285714</v>
      </c>
      <c r="C28" s="271">
        <f aca="true" t="shared" si="4" ref="C28:L28">C26/C27</f>
        <v>0.6122448979591838</v>
      </c>
      <c r="D28" s="271">
        <f t="shared" si="4"/>
        <v>0.6559766763848397</v>
      </c>
      <c r="E28" s="271">
        <f t="shared" si="4"/>
        <v>0.7028321532694712</v>
      </c>
      <c r="F28" s="271">
        <f t="shared" si="4"/>
        <v>0.7530344499315763</v>
      </c>
      <c r="G28" s="271">
        <f t="shared" si="4"/>
        <v>0.806822624926689</v>
      </c>
      <c r="H28" s="271">
        <f t="shared" si="4"/>
        <v>0.8644528124214524</v>
      </c>
      <c r="I28" s="271">
        <f t="shared" si="4"/>
        <v>0.9261994418801277</v>
      </c>
      <c r="J28" s="271">
        <f t="shared" si="4"/>
        <v>0.9923565448715654</v>
      </c>
      <c r="K28" s="271">
        <f t="shared" si="4"/>
        <v>1.0632391552195346</v>
      </c>
      <c r="L28" s="271">
        <f t="shared" si="4"/>
        <v>1.139184809163787</v>
      </c>
      <c r="M28" s="21"/>
    </row>
    <row r="29" spans="1:13" s="30" customFormat="1" ht="12.75">
      <c r="A29" s="84" t="s">
        <v>377</v>
      </c>
      <c r="B29" s="276">
        <v>0.2</v>
      </c>
      <c r="C29" s="271">
        <f>B29*(1+$D$4)</f>
        <v>0.20600000000000002</v>
      </c>
      <c r="D29" s="271">
        <f aca="true" t="shared" si="5" ref="D29:L29">C29*(1+$D$4)</f>
        <v>0.21218000000000004</v>
      </c>
      <c r="E29" s="271">
        <f t="shared" si="5"/>
        <v>0.21854540000000003</v>
      </c>
      <c r="F29" s="271">
        <f t="shared" si="5"/>
        <v>0.22510176200000004</v>
      </c>
      <c r="G29" s="271">
        <f t="shared" si="5"/>
        <v>0.23185481486000004</v>
      </c>
      <c r="H29" s="271">
        <f t="shared" si="5"/>
        <v>0.23881045930580005</v>
      </c>
      <c r="I29" s="271">
        <f t="shared" si="5"/>
        <v>0.24597477308497406</v>
      </c>
      <c r="J29" s="271">
        <f t="shared" si="5"/>
        <v>0.2533540162775233</v>
      </c>
      <c r="K29" s="271">
        <f t="shared" si="5"/>
        <v>0.260954636765849</v>
      </c>
      <c r="L29" s="271">
        <f t="shared" si="5"/>
        <v>0.2687832758688245</v>
      </c>
      <c r="M29" s="21"/>
    </row>
    <row r="30" spans="1:13" s="30" customFormat="1" ht="12.75">
      <c r="A30" s="84" t="s">
        <v>385</v>
      </c>
      <c r="B30" s="204">
        <f>B28*B29*1000</f>
        <v>114.28571428571428</v>
      </c>
      <c r="C30" s="204">
        <f aca="true" t="shared" si="6" ref="C30:L30">C28*C29*1000</f>
        <v>126.12244897959188</v>
      </c>
      <c r="D30" s="204">
        <f t="shared" si="6"/>
        <v>139.18513119533532</v>
      </c>
      <c r="E30" s="204">
        <f t="shared" si="6"/>
        <v>153.6007340691379</v>
      </c>
      <c r="F30" s="204">
        <f t="shared" si="6"/>
        <v>169.50938152629863</v>
      </c>
      <c r="G30" s="204">
        <f t="shared" si="6"/>
        <v>187.06571032723673</v>
      </c>
      <c r="H30" s="204">
        <f t="shared" si="6"/>
        <v>206.44037318255766</v>
      </c>
      <c r="I30" s="204">
        <f t="shared" si="6"/>
        <v>227.82169754789402</v>
      </c>
      <c r="J30" s="204">
        <f t="shared" si="6"/>
        <v>251.41751622249737</v>
      </c>
      <c r="K30" s="204">
        <f t="shared" si="6"/>
        <v>277.45718754554184</v>
      </c>
      <c r="L30" s="204">
        <f t="shared" si="6"/>
        <v>306.1938248270444</v>
      </c>
      <c r="M30" s="21"/>
    </row>
    <row r="31" spans="1:13" s="30" customFormat="1" ht="12.75">
      <c r="A31" s="87" t="s">
        <v>39</v>
      </c>
      <c r="B31" s="272">
        <f>B30</f>
        <v>114.28571428571428</v>
      </c>
      <c r="C31" s="272">
        <f aca="true" t="shared" si="7" ref="C31:L31">C30</f>
        <v>126.12244897959188</v>
      </c>
      <c r="D31" s="272">
        <f t="shared" si="7"/>
        <v>139.18513119533532</v>
      </c>
      <c r="E31" s="272">
        <f t="shared" si="7"/>
        <v>153.6007340691379</v>
      </c>
      <c r="F31" s="272">
        <f t="shared" si="7"/>
        <v>169.50938152629863</v>
      </c>
      <c r="G31" s="272">
        <f t="shared" si="7"/>
        <v>187.06571032723673</v>
      </c>
      <c r="H31" s="272">
        <f t="shared" si="7"/>
        <v>206.44037318255766</v>
      </c>
      <c r="I31" s="272">
        <f t="shared" si="7"/>
        <v>227.82169754789402</v>
      </c>
      <c r="J31" s="272">
        <f t="shared" si="7"/>
        <v>251.41751622249737</v>
      </c>
      <c r="K31" s="272">
        <f t="shared" si="7"/>
        <v>277.45718754554184</v>
      </c>
      <c r="L31" s="272">
        <f t="shared" si="7"/>
        <v>306.1938248270444</v>
      </c>
      <c r="M31" s="21"/>
    </row>
    <row r="32" spans="1:13" s="30" customFormat="1" ht="12.75">
      <c r="A32" s="8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21"/>
    </row>
    <row r="33" spans="1:13" s="30" customFormat="1" ht="12.75">
      <c r="A33" s="155" t="str">
        <f>A5</f>
        <v>Urban Regions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21"/>
    </row>
    <row r="34" spans="1:13" s="30" customFormat="1" ht="12.75">
      <c r="A34" s="273" t="s">
        <v>390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21"/>
    </row>
    <row r="35" spans="1:13" s="30" customFormat="1" ht="12.75">
      <c r="A35" s="84" t="s">
        <v>386</v>
      </c>
      <c r="B35" s="270">
        <v>1.5</v>
      </c>
      <c r="C35" s="182">
        <f>B35*(1+$B$5)</f>
        <v>1.59</v>
      </c>
      <c r="D35" s="182">
        <f aca="true" t="shared" si="8" ref="D35:L35">C35*(1+$B$5)</f>
        <v>1.6854000000000002</v>
      </c>
      <c r="E35" s="182">
        <f t="shared" si="8"/>
        <v>1.7865240000000004</v>
      </c>
      <c r="F35" s="182">
        <f t="shared" si="8"/>
        <v>1.8937154400000005</v>
      </c>
      <c r="G35" s="182">
        <f t="shared" si="8"/>
        <v>2.0073383664000004</v>
      </c>
      <c r="H35" s="182">
        <f t="shared" si="8"/>
        <v>2.1277786683840008</v>
      </c>
      <c r="I35" s="182">
        <f t="shared" si="8"/>
        <v>2.255445388487041</v>
      </c>
      <c r="J35" s="182">
        <f t="shared" si="8"/>
        <v>2.390772111796264</v>
      </c>
      <c r="K35" s="182">
        <f t="shared" si="8"/>
        <v>2.53421843850404</v>
      </c>
      <c r="L35" s="182">
        <f t="shared" si="8"/>
        <v>2.686271544814282</v>
      </c>
      <c r="M35" s="21"/>
    </row>
    <row r="36" spans="1:13" s="30" customFormat="1" ht="12.75">
      <c r="A36" s="84" t="s">
        <v>387</v>
      </c>
      <c r="B36" s="270">
        <v>1</v>
      </c>
      <c r="C36" s="182">
        <f aca="true" t="shared" si="9" ref="C36:L38">B36*(1+$B$5)</f>
        <v>1.06</v>
      </c>
      <c r="D36" s="182">
        <f t="shared" si="9"/>
        <v>1.1236000000000002</v>
      </c>
      <c r="E36" s="182">
        <f t="shared" si="9"/>
        <v>1.1910160000000003</v>
      </c>
      <c r="F36" s="182">
        <f t="shared" si="9"/>
        <v>1.2624769600000003</v>
      </c>
      <c r="G36" s="182">
        <f t="shared" si="9"/>
        <v>1.3382255776000005</v>
      </c>
      <c r="H36" s="182">
        <f t="shared" si="9"/>
        <v>1.4185191122560006</v>
      </c>
      <c r="I36" s="182">
        <f t="shared" si="9"/>
        <v>1.5036302589913606</v>
      </c>
      <c r="J36" s="182">
        <f t="shared" si="9"/>
        <v>1.5938480745308423</v>
      </c>
      <c r="K36" s="182">
        <f t="shared" si="9"/>
        <v>1.6894789590026928</v>
      </c>
      <c r="L36" s="182">
        <f t="shared" si="9"/>
        <v>1.7908476965428546</v>
      </c>
      <c r="M36" s="21"/>
    </row>
    <row r="37" spans="1:13" s="30" customFormat="1" ht="12.75">
      <c r="A37" s="84" t="s">
        <v>388</v>
      </c>
      <c r="B37" s="270">
        <v>0.85</v>
      </c>
      <c r="C37" s="182">
        <f t="shared" si="9"/>
        <v>0.901</v>
      </c>
      <c r="D37" s="182">
        <f t="shared" si="9"/>
        <v>0.95506</v>
      </c>
      <c r="E37" s="182">
        <f t="shared" si="9"/>
        <v>1.0123636</v>
      </c>
      <c r="F37" s="182">
        <f t="shared" si="9"/>
        <v>1.073105416</v>
      </c>
      <c r="G37" s="182">
        <f t="shared" si="9"/>
        <v>1.13749174096</v>
      </c>
      <c r="H37" s="182">
        <f t="shared" si="9"/>
        <v>1.2057412454176002</v>
      </c>
      <c r="I37" s="182">
        <f t="shared" si="9"/>
        <v>1.2780857201426563</v>
      </c>
      <c r="J37" s="182">
        <f t="shared" si="9"/>
        <v>1.3547708633512157</v>
      </c>
      <c r="K37" s="182">
        <f t="shared" si="9"/>
        <v>1.4360571151522887</v>
      </c>
      <c r="L37" s="182">
        <f t="shared" si="9"/>
        <v>1.522220542061426</v>
      </c>
      <c r="M37" s="21"/>
    </row>
    <row r="38" spans="1:13" s="30" customFormat="1" ht="12.75">
      <c r="A38" s="84" t="s">
        <v>389</v>
      </c>
      <c r="B38" s="270">
        <v>0.5</v>
      </c>
      <c r="C38" s="182">
        <f t="shared" si="9"/>
        <v>0.53</v>
      </c>
      <c r="D38" s="182">
        <f t="shared" si="9"/>
        <v>0.5618000000000001</v>
      </c>
      <c r="E38" s="182">
        <f t="shared" si="9"/>
        <v>0.5955080000000001</v>
      </c>
      <c r="F38" s="182">
        <f t="shared" si="9"/>
        <v>0.6312384800000002</v>
      </c>
      <c r="G38" s="182">
        <f t="shared" si="9"/>
        <v>0.6691127888000002</v>
      </c>
      <c r="H38" s="182">
        <f t="shared" si="9"/>
        <v>0.7092595561280003</v>
      </c>
      <c r="I38" s="182">
        <f t="shared" si="9"/>
        <v>0.7518151294956803</v>
      </c>
      <c r="J38" s="182">
        <f t="shared" si="9"/>
        <v>0.7969240372654212</v>
      </c>
      <c r="K38" s="182">
        <f t="shared" si="9"/>
        <v>0.8447394795013464</v>
      </c>
      <c r="L38" s="182">
        <f t="shared" si="9"/>
        <v>0.8954238482714273</v>
      </c>
      <c r="M38" s="21"/>
    </row>
    <row r="39" spans="1:13" s="30" customFormat="1" ht="12.75">
      <c r="A39" s="275" t="s">
        <v>391</v>
      </c>
      <c r="B39" s="274">
        <f>SUM(B35:B38)</f>
        <v>3.85</v>
      </c>
      <c r="C39" s="274">
        <f aca="true" t="shared" si="10" ref="C39:L39">SUM(C35:C38)</f>
        <v>4.081</v>
      </c>
      <c r="D39" s="274">
        <f t="shared" si="10"/>
        <v>4.3258600000000005</v>
      </c>
      <c r="E39" s="274">
        <f t="shared" si="10"/>
        <v>4.5854116000000005</v>
      </c>
      <c r="F39" s="274">
        <f t="shared" si="10"/>
        <v>4.860536296000001</v>
      </c>
      <c r="G39" s="274">
        <f t="shared" si="10"/>
        <v>5.1521684737600015</v>
      </c>
      <c r="H39" s="274">
        <f t="shared" si="10"/>
        <v>5.461298582185602</v>
      </c>
      <c r="I39" s="274">
        <f t="shared" si="10"/>
        <v>5.788976497116739</v>
      </c>
      <c r="J39" s="274">
        <f t="shared" si="10"/>
        <v>6.136315086943743</v>
      </c>
      <c r="K39" s="274">
        <f t="shared" si="10"/>
        <v>6.504493992160368</v>
      </c>
      <c r="L39" s="274">
        <f t="shared" si="10"/>
        <v>6.89476363168999</v>
      </c>
      <c r="M39" s="21"/>
    </row>
    <row r="40" spans="1:13" s="30" customFormat="1" ht="12.75">
      <c r="A40" s="84" t="s">
        <v>376</v>
      </c>
      <c r="B40" s="270">
        <v>3.8</v>
      </c>
      <c r="C40" s="182">
        <f>B40*(1+$C$5)</f>
        <v>3.7239999999999998</v>
      </c>
      <c r="D40" s="182">
        <f aca="true" t="shared" si="11" ref="D40:L40">C40*(1+$C$5)</f>
        <v>3.64952</v>
      </c>
      <c r="E40" s="182">
        <f t="shared" si="11"/>
        <v>3.5765295999999998</v>
      </c>
      <c r="F40" s="182">
        <f t="shared" si="11"/>
        <v>3.5049990079999995</v>
      </c>
      <c r="G40" s="182">
        <f t="shared" si="11"/>
        <v>3.4348990278399993</v>
      </c>
      <c r="H40" s="182">
        <f t="shared" si="11"/>
        <v>3.3662010472831994</v>
      </c>
      <c r="I40" s="182">
        <f t="shared" si="11"/>
        <v>3.2988770263375353</v>
      </c>
      <c r="J40" s="182">
        <f t="shared" si="11"/>
        <v>3.2328994858107847</v>
      </c>
      <c r="K40" s="182">
        <f t="shared" si="11"/>
        <v>3.168241496094569</v>
      </c>
      <c r="L40" s="182">
        <f t="shared" si="11"/>
        <v>3.1048766661726774</v>
      </c>
      <c r="M40" s="21"/>
    </row>
    <row r="41" spans="1:13" s="30" customFormat="1" ht="12.75">
      <c r="A41" s="84" t="s">
        <v>383</v>
      </c>
      <c r="B41" s="271">
        <f aca="true" t="shared" si="12" ref="B41:L41">B39/B40</f>
        <v>1.0131578947368423</v>
      </c>
      <c r="C41" s="271">
        <f t="shared" si="12"/>
        <v>1.0958646616541354</v>
      </c>
      <c r="D41" s="271">
        <f t="shared" si="12"/>
        <v>1.1853230013810037</v>
      </c>
      <c r="E41" s="271">
        <f t="shared" si="12"/>
        <v>1.2820840627182286</v>
      </c>
      <c r="F41" s="271">
        <f t="shared" si="12"/>
        <v>1.3867439862054312</v>
      </c>
      <c r="G41" s="271">
        <f t="shared" si="12"/>
        <v>1.4999475769160788</v>
      </c>
      <c r="H41" s="271">
        <f t="shared" si="12"/>
        <v>1.6223922770724934</v>
      </c>
      <c r="I41" s="271">
        <f t="shared" si="12"/>
        <v>1.7548324629559626</v>
      </c>
      <c r="J41" s="271">
        <f t="shared" si="12"/>
        <v>1.8980840925850204</v>
      </c>
      <c r="K41" s="271">
        <f t="shared" si="12"/>
        <v>2.053029732796043</v>
      </c>
      <c r="L41" s="271">
        <f t="shared" si="12"/>
        <v>2.220623996697761</v>
      </c>
      <c r="M41" s="21"/>
    </row>
    <row r="42" spans="1:13" s="30" customFormat="1" ht="12.75">
      <c r="A42" s="84" t="s">
        <v>377</v>
      </c>
      <c r="B42" s="276">
        <v>0.15</v>
      </c>
      <c r="C42" s="271">
        <f>B42*(1+$D$5)</f>
        <v>0.1545</v>
      </c>
      <c r="D42" s="271">
        <f aca="true" t="shared" si="13" ref="D42:L42">C42*(1+$D$5)</f>
        <v>0.159135</v>
      </c>
      <c r="E42" s="271">
        <f t="shared" si="13"/>
        <v>0.16390905</v>
      </c>
      <c r="F42" s="271">
        <f t="shared" si="13"/>
        <v>0.16882632150000002</v>
      </c>
      <c r="G42" s="271">
        <f t="shared" si="13"/>
        <v>0.17389111114500003</v>
      </c>
      <c r="H42" s="271">
        <f t="shared" si="13"/>
        <v>0.17910784447935002</v>
      </c>
      <c r="I42" s="271">
        <f t="shared" si="13"/>
        <v>0.18448107981373052</v>
      </c>
      <c r="J42" s="271">
        <f t="shared" si="13"/>
        <v>0.19001551220814245</v>
      </c>
      <c r="K42" s="271">
        <f t="shared" si="13"/>
        <v>0.19571597757438672</v>
      </c>
      <c r="L42" s="271">
        <f t="shared" si="13"/>
        <v>0.20158745690161833</v>
      </c>
      <c r="M42" s="21"/>
    </row>
    <row r="43" spans="1:13" s="30" customFormat="1" ht="12.75">
      <c r="A43" s="84" t="s">
        <v>385</v>
      </c>
      <c r="B43" s="204">
        <f aca="true" t="shared" si="14" ref="B43:L43">B41*B42*1000</f>
        <v>151.97368421052636</v>
      </c>
      <c r="C43" s="204">
        <f t="shared" si="14"/>
        <v>169.31109022556393</v>
      </c>
      <c r="D43" s="204">
        <f t="shared" si="14"/>
        <v>188.62637582476603</v>
      </c>
      <c r="E43" s="204">
        <f t="shared" si="14"/>
        <v>210.14518074028527</v>
      </c>
      <c r="F43" s="204">
        <f t="shared" si="14"/>
        <v>234.11888605330972</v>
      </c>
      <c r="G43" s="204">
        <f t="shared" si="14"/>
        <v>260.82755080918736</v>
      </c>
      <c r="H43" s="204">
        <f t="shared" si="14"/>
        <v>290.58318364639865</v>
      </c>
      <c r="I43" s="204">
        <f t="shared" si="14"/>
        <v>323.73338765830425</v>
      </c>
      <c r="J43" s="204">
        <f t="shared" si="14"/>
        <v>360.6654210666699</v>
      </c>
      <c r="K43" s="204">
        <f t="shared" si="14"/>
        <v>401.8107211434595</v>
      </c>
      <c r="L43" s="204">
        <f t="shared" si="14"/>
        <v>447.64994422900935</v>
      </c>
      <c r="M43" s="21"/>
    </row>
    <row r="44" spans="1:13" s="30" customFormat="1" ht="12.75">
      <c r="A44" s="87" t="s">
        <v>39</v>
      </c>
      <c r="B44" s="272">
        <f>B43</f>
        <v>151.97368421052636</v>
      </c>
      <c r="C44" s="272">
        <f aca="true" t="shared" si="15" ref="C44:L44">C43</f>
        <v>169.31109022556393</v>
      </c>
      <c r="D44" s="272">
        <f t="shared" si="15"/>
        <v>188.62637582476603</v>
      </c>
      <c r="E44" s="272">
        <f t="shared" si="15"/>
        <v>210.14518074028527</v>
      </c>
      <c r="F44" s="272">
        <f t="shared" si="15"/>
        <v>234.11888605330972</v>
      </c>
      <c r="G44" s="272">
        <f t="shared" si="15"/>
        <v>260.82755080918736</v>
      </c>
      <c r="H44" s="272">
        <f t="shared" si="15"/>
        <v>290.58318364639865</v>
      </c>
      <c r="I44" s="272">
        <f t="shared" si="15"/>
        <v>323.73338765830425</v>
      </c>
      <c r="J44" s="272">
        <f t="shared" si="15"/>
        <v>360.6654210666699</v>
      </c>
      <c r="K44" s="272">
        <f t="shared" si="15"/>
        <v>401.8107211434595</v>
      </c>
      <c r="L44" s="272">
        <f t="shared" si="15"/>
        <v>447.64994422900935</v>
      </c>
      <c r="M44" s="21"/>
    </row>
    <row r="45" spans="1:13" s="30" customFormat="1" ht="12.75">
      <c r="A45" s="87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1"/>
    </row>
    <row r="46" spans="1:13" s="30" customFormat="1" ht="12.75">
      <c r="A46" s="8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21"/>
    </row>
    <row r="47" spans="1:13" s="30" customFormat="1" ht="12.75">
      <c r="A47" s="155" t="str">
        <f>A6</f>
        <v>Rural Regions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21"/>
    </row>
    <row r="48" spans="1:13" s="30" customFormat="1" ht="12.75">
      <c r="A48" s="84" t="s">
        <v>393</v>
      </c>
      <c r="B48" s="182">
        <f>B8-B26-B39</f>
        <v>4.15</v>
      </c>
      <c r="C48" s="182">
        <f>B48*(1+$B$6)</f>
        <v>4.1085</v>
      </c>
      <c r="D48" s="182">
        <f aca="true" t="shared" si="16" ref="D48:L48">C48*(1+$B$6)</f>
        <v>4.0674150000000004</v>
      </c>
      <c r="E48" s="182">
        <f t="shared" si="16"/>
        <v>4.02674085</v>
      </c>
      <c r="F48" s="182">
        <f t="shared" si="16"/>
        <v>3.9864734415000003</v>
      </c>
      <c r="G48" s="182">
        <f t="shared" si="16"/>
        <v>3.9466087070850002</v>
      </c>
      <c r="H48" s="182">
        <f t="shared" si="16"/>
        <v>3.90714262001415</v>
      </c>
      <c r="I48" s="182">
        <f t="shared" si="16"/>
        <v>3.8680711938140084</v>
      </c>
      <c r="J48" s="182">
        <f t="shared" si="16"/>
        <v>3.829390481875868</v>
      </c>
      <c r="K48" s="182">
        <f t="shared" si="16"/>
        <v>3.7910965770571097</v>
      </c>
      <c r="L48" s="182">
        <f t="shared" si="16"/>
        <v>3.7531856112865385</v>
      </c>
      <c r="M48" s="21"/>
    </row>
    <row r="49" spans="1:13" s="30" customFormat="1" ht="12.75">
      <c r="A49" s="84" t="s">
        <v>394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21"/>
    </row>
    <row r="50" spans="1:13" s="30" customFormat="1" ht="12.75">
      <c r="A50" s="275" t="s">
        <v>391</v>
      </c>
      <c r="B50" s="274">
        <f aca="true" t="shared" si="17" ref="B50:L50">SUM(B48:B49)</f>
        <v>4.15</v>
      </c>
      <c r="C50" s="274">
        <f t="shared" si="17"/>
        <v>4.1085</v>
      </c>
      <c r="D50" s="274">
        <f t="shared" si="17"/>
        <v>4.0674150000000004</v>
      </c>
      <c r="E50" s="274">
        <f t="shared" si="17"/>
        <v>4.02674085</v>
      </c>
      <c r="F50" s="274">
        <f t="shared" si="17"/>
        <v>3.9864734415000003</v>
      </c>
      <c r="G50" s="274">
        <f t="shared" si="17"/>
        <v>3.9466087070850002</v>
      </c>
      <c r="H50" s="274">
        <f t="shared" si="17"/>
        <v>3.90714262001415</v>
      </c>
      <c r="I50" s="274">
        <f t="shared" si="17"/>
        <v>3.8680711938140084</v>
      </c>
      <c r="J50" s="274">
        <f t="shared" si="17"/>
        <v>3.829390481875868</v>
      </c>
      <c r="K50" s="274">
        <f t="shared" si="17"/>
        <v>3.7910965770571097</v>
      </c>
      <c r="L50" s="274">
        <f t="shared" si="17"/>
        <v>3.7531856112865385</v>
      </c>
      <c r="M50" s="21"/>
    </row>
    <row r="51" spans="1:13" s="30" customFormat="1" ht="12.75">
      <c r="A51" s="84" t="s">
        <v>376</v>
      </c>
      <c r="B51" s="270">
        <v>5</v>
      </c>
      <c r="C51" s="182">
        <f>B51*(1+$C$6)</f>
        <v>5</v>
      </c>
      <c r="D51" s="182">
        <f aca="true" t="shared" si="18" ref="D51:L51">C51*(1+$C$6)</f>
        <v>5</v>
      </c>
      <c r="E51" s="182">
        <f t="shared" si="18"/>
        <v>5</v>
      </c>
      <c r="F51" s="182">
        <f t="shared" si="18"/>
        <v>5</v>
      </c>
      <c r="G51" s="182">
        <f t="shared" si="18"/>
        <v>5</v>
      </c>
      <c r="H51" s="182">
        <f t="shared" si="18"/>
        <v>5</v>
      </c>
      <c r="I51" s="182">
        <f t="shared" si="18"/>
        <v>5</v>
      </c>
      <c r="J51" s="182">
        <f t="shared" si="18"/>
        <v>5</v>
      </c>
      <c r="K51" s="182">
        <f t="shared" si="18"/>
        <v>5</v>
      </c>
      <c r="L51" s="182">
        <f t="shared" si="18"/>
        <v>5</v>
      </c>
      <c r="M51" s="21"/>
    </row>
    <row r="52" spans="1:13" s="30" customFormat="1" ht="12.75">
      <c r="A52" s="84" t="s">
        <v>383</v>
      </c>
      <c r="B52" s="271">
        <f aca="true" t="shared" si="19" ref="B52:L52">B50/B51</f>
        <v>0.8300000000000001</v>
      </c>
      <c r="C52" s="271">
        <f t="shared" si="19"/>
        <v>0.8217000000000001</v>
      </c>
      <c r="D52" s="271">
        <f t="shared" si="19"/>
        <v>0.8134830000000001</v>
      </c>
      <c r="E52" s="271">
        <f t="shared" si="19"/>
        <v>0.80534817</v>
      </c>
      <c r="F52" s="271">
        <f t="shared" si="19"/>
        <v>0.7972946883</v>
      </c>
      <c r="G52" s="271">
        <f t="shared" si="19"/>
        <v>0.7893217414170001</v>
      </c>
      <c r="H52" s="271">
        <f t="shared" si="19"/>
        <v>0.78142852400283</v>
      </c>
      <c r="I52" s="271">
        <f t="shared" si="19"/>
        <v>0.7736142387628017</v>
      </c>
      <c r="J52" s="271">
        <f t="shared" si="19"/>
        <v>0.7658780963751737</v>
      </c>
      <c r="K52" s="271">
        <f t="shared" si="19"/>
        <v>0.758219315411422</v>
      </c>
      <c r="L52" s="271">
        <f t="shared" si="19"/>
        <v>0.7506371222573077</v>
      </c>
      <c r="M52" s="21"/>
    </row>
    <row r="53" spans="1:13" s="30" customFormat="1" ht="12.75">
      <c r="A53" s="84" t="s">
        <v>377</v>
      </c>
      <c r="B53" s="276">
        <v>0.1</v>
      </c>
      <c r="C53" s="271">
        <f>B53*(1+$D$6)</f>
        <v>0.10300000000000001</v>
      </c>
      <c r="D53" s="271">
        <f aca="true" t="shared" si="20" ref="D53:L53">C53*(1+$D$6)</f>
        <v>0.10609000000000002</v>
      </c>
      <c r="E53" s="271">
        <f t="shared" si="20"/>
        <v>0.10927270000000001</v>
      </c>
      <c r="F53" s="271">
        <f t="shared" si="20"/>
        <v>0.11255088100000002</v>
      </c>
      <c r="G53" s="271">
        <f t="shared" si="20"/>
        <v>0.11592740743000002</v>
      </c>
      <c r="H53" s="271">
        <f t="shared" si="20"/>
        <v>0.11940522965290003</v>
      </c>
      <c r="I53" s="271">
        <f t="shared" si="20"/>
        <v>0.12298738654248703</v>
      </c>
      <c r="J53" s="271">
        <f t="shared" si="20"/>
        <v>0.12667700813876165</v>
      </c>
      <c r="K53" s="271">
        <f t="shared" si="20"/>
        <v>0.1304773183829245</v>
      </c>
      <c r="L53" s="271">
        <f t="shared" si="20"/>
        <v>0.13439163793441225</v>
      </c>
      <c r="M53" s="21"/>
    </row>
    <row r="54" spans="1:13" s="30" customFormat="1" ht="12.75">
      <c r="A54" s="84" t="s">
        <v>385</v>
      </c>
      <c r="B54" s="204">
        <f aca="true" t="shared" si="21" ref="B54:L54">B52*B53*1000</f>
        <v>83.00000000000001</v>
      </c>
      <c r="C54" s="204">
        <f t="shared" si="21"/>
        <v>84.63510000000002</v>
      </c>
      <c r="D54" s="204">
        <f t="shared" si="21"/>
        <v>86.30241147000002</v>
      </c>
      <c r="E54" s="204">
        <f t="shared" si="21"/>
        <v>88.00256897595901</v>
      </c>
      <c r="F54" s="204">
        <f t="shared" si="21"/>
        <v>89.73621958478542</v>
      </c>
      <c r="G54" s="204">
        <f t="shared" si="21"/>
        <v>91.50402311060569</v>
      </c>
      <c r="H54" s="204">
        <f t="shared" si="21"/>
        <v>93.30665236588462</v>
      </c>
      <c r="I54" s="204">
        <f t="shared" si="21"/>
        <v>95.14479341749255</v>
      </c>
      <c r="J54" s="204">
        <f t="shared" si="21"/>
        <v>97.01914584781716</v>
      </c>
      <c r="K54" s="204">
        <f t="shared" si="21"/>
        <v>98.93042302101917</v>
      </c>
      <c r="L54" s="204">
        <f t="shared" si="21"/>
        <v>100.87935235453324</v>
      </c>
      <c r="M54" s="21"/>
    </row>
    <row r="55" spans="1:13" s="30" customFormat="1" ht="12.75">
      <c r="A55" s="87" t="s">
        <v>39</v>
      </c>
      <c r="B55" s="272">
        <f>B54</f>
        <v>83.00000000000001</v>
      </c>
      <c r="C55" s="272">
        <f aca="true" t="shared" si="22" ref="C55:L55">C54</f>
        <v>84.63510000000002</v>
      </c>
      <c r="D55" s="272">
        <f t="shared" si="22"/>
        <v>86.30241147000002</v>
      </c>
      <c r="E55" s="272">
        <f t="shared" si="22"/>
        <v>88.00256897595901</v>
      </c>
      <c r="F55" s="272">
        <f t="shared" si="22"/>
        <v>89.73621958478542</v>
      </c>
      <c r="G55" s="272">
        <f t="shared" si="22"/>
        <v>91.50402311060569</v>
      </c>
      <c r="H55" s="272">
        <f t="shared" si="22"/>
        <v>93.30665236588462</v>
      </c>
      <c r="I55" s="272">
        <f t="shared" si="22"/>
        <v>95.14479341749255</v>
      </c>
      <c r="J55" s="272">
        <f t="shared" si="22"/>
        <v>97.01914584781716</v>
      </c>
      <c r="K55" s="272">
        <f t="shared" si="22"/>
        <v>98.93042302101917</v>
      </c>
      <c r="L55" s="272">
        <f t="shared" si="22"/>
        <v>100.87935235453324</v>
      </c>
      <c r="M55" s="21"/>
    </row>
    <row r="56" spans="1:13" s="30" customFormat="1" ht="12.75">
      <c r="A56" s="8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21"/>
    </row>
    <row r="57" spans="1:13" s="30" customFormat="1" ht="12.75">
      <c r="A57" s="87" t="s">
        <v>397</v>
      </c>
      <c r="B57" s="272">
        <f>B31+B44+B55</f>
        <v>349.25939849624064</v>
      </c>
      <c r="C57" s="272">
        <f aca="true" t="shared" si="23" ref="C57:L57">C31+C44+C55</f>
        <v>380.0686392051558</v>
      </c>
      <c r="D57" s="272">
        <f t="shared" si="23"/>
        <v>414.11391849010136</v>
      </c>
      <c r="E57" s="272">
        <f t="shared" si="23"/>
        <v>451.7484837853822</v>
      </c>
      <c r="F57" s="272">
        <f t="shared" si="23"/>
        <v>493.3644871643938</v>
      </c>
      <c r="G57" s="272">
        <f t="shared" si="23"/>
        <v>539.3972842470298</v>
      </c>
      <c r="H57" s="272">
        <f t="shared" si="23"/>
        <v>590.3302091948409</v>
      </c>
      <c r="I57" s="272">
        <f t="shared" si="23"/>
        <v>646.6998786236909</v>
      </c>
      <c r="J57" s="272">
        <f t="shared" si="23"/>
        <v>709.1020831369844</v>
      </c>
      <c r="K57" s="272">
        <f t="shared" si="23"/>
        <v>778.1983317100205</v>
      </c>
      <c r="L57" s="272">
        <f t="shared" si="23"/>
        <v>854.723121410587</v>
      </c>
      <c r="M57" s="21"/>
    </row>
    <row r="58" spans="1:13" s="30" customFormat="1" ht="12.75">
      <c r="A58" s="87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21"/>
    </row>
    <row r="59" spans="1:13" s="30" customFormat="1" ht="12.75">
      <c r="A59" s="157" t="s">
        <v>395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9"/>
      <c r="M59" s="21"/>
    </row>
    <row r="60" spans="1:13" s="30" customFormat="1" ht="12.75">
      <c r="A60" s="160" t="s">
        <v>35</v>
      </c>
      <c r="B60" s="161">
        <v>0</v>
      </c>
      <c r="C60" s="161">
        <v>1</v>
      </c>
      <c r="D60" s="161">
        <v>2</v>
      </c>
      <c r="E60" s="161">
        <v>3</v>
      </c>
      <c r="F60" s="161">
        <v>4</v>
      </c>
      <c r="G60" s="161">
        <v>5</v>
      </c>
      <c r="H60" s="161">
        <v>6</v>
      </c>
      <c r="I60" s="161">
        <v>7</v>
      </c>
      <c r="J60" s="161">
        <v>8</v>
      </c>
      <c r="K60" s="161">
        <v>9</v>
      </c>
      <c r="L60" s="162">
        <v>10</v>
      </c>
      <c r="M60" s="33"/>
    </row>
    <row r="61" spans="1:13" s="30" customFormat="1" ht="12.75">
      <c r="A61" s="163"/>
      <c r="B61" s="77">
        <f>C61-1</f>
        <v>1998</v>
      </c>
      <c r="C61" s="77">
        <f>Assumptions!B7</f>
        <v>1999</v>
      </c>
      <c r="D61" s="77">
        <f>C61+1</f>
        <v>2000</v>
      </c>
      <c r="E61" s="77">
        <f aca="true" t="shared" si="24" ref="E61:L61">D61+1</f>
        <v>2001</v>
      </c>
      <c r="F61" s="77">
        <f t="shared" si="24"/>
        <v>2002</v>
      </c>
      <c r="G61" s="77">
        <f t="shared" si="24"/>
        <v>2003</v>
      </c>
      <c r="H61" s="77">
        <f t="shared" si="24"/>
        <v>2004</v>
      </c>
      <c r="I61" s="77">
        <f t="shared" si="24"/>
        <v>2005</v>
      </c>
      <c r="J61" s="77">
        <f t="shared" si="24"/>
        <v>2006</v>
      </c>
      <c r="K61" s="77">
        <f t="shared" si="24"/>
        <v>2007</v>
      </c>
      <c r="L61" s="162">
        <f t="shared" si="24"/>
        <v>2008</v>
      </c>
      <c r="M61" s="33"/>
    </row>
    <row r="62" spans="1:13" s="30" customFormat="1" ht="12.7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6"/>
      <c r="M62" s="21"/>
    </row>
    <row r="63" spans="1:13" s="30" customFormat="1" ht="12.75">
      <c r="A63" s="167" t="str">
        <f>A4</f>
        <v>Captial Region</v>
      </c>
      <c r="B63" s="168">
        <v>1</v>
      </c>
      <c r="C63" s="168">
        <v>1</v>
      </c>
      <c r="D63" s="168">
        <v>1</v>
      </c>
      <c r="E63" s="168">
        <v>0.92</v>
      </c>
      <c r="F63" s="168">
        <v>0.85</v>
      </c>
      <c r="G63" s="168">
        <v>0.8</v>
      </c>
      <c r="H63" s="168">
        <v>0.75</v>
      </c>
      <c r="I63" s="168">
        <v>0.7</v>
      </c>
      <c r="J63" s="168">
        <v>0.7</v>
      </c>
      <c r="K63" s="168">
        <v>0.7</v>
      </c>
      <c r="L63" s="169">
        <v>0.7</v>
      </c>
      <c r="M63" s="21"/>
    </row>
    <row r="64" spans="1:13" s="30" customFormat="1" ht="12.75">
      <c r="A64" s="167" t="str">
        <f>A5</f>
        <v>Urban Regions</v>
      </c>
      <c r="B64" s="168">
        <v>1</v>
      </c>
      <c r="C64" s="168">
        <v>1</v>
      </c>
      <c r="D64" s="168">
        <v>1</v>
      </c>
      <c r="E64" s="168">
        <v>0.92</v>
      </c>
      <c r="F64" s="168">
        <v>0.85</v>
      </c>
      <c r="G64" s="168">
        <v>0.8</v>
      </c>
      <c r="H64" s="168">
        <v>0.75</v>
      </c>
      <c r="I64" s="168">
        <v>0.7</v>
      </c>
      <c r="J64" s="168">
        <v>0.7</v>
      </c>
      <c r="K64" s="168">
        <v>0.7</v>
      </c>
      <c r="L64" s="169">
        <v>0.7</v>
      </c>
      <c r="M64" s="21"/>
    </row>
    <row r="65" spans="1:13" s="30" customFormat="1" ht="12.75">
      <c r="A65" s="170" t="str">
        <f>A6</f>
        <v>Rural Regions</v>
      </c>
      <c r="B65" s="171">
        <v>1</v>
      </c>
      <c r="C65" s="171">
        <v>1</v>
      </c>
      <c r="D65" s="171">
        <v>1</v>
      </c>
      <c r="E65" s="171">
        <v>1</v>
      </c>
      <c r="F65" s="171">
        <v>1</v>
      </c>
      <c r="G65" s="171">
        <v>0.92</v>
      </c>
      <c r="H65" s="171">
        <v>0.85</v>
      </c>
      <c r="I65" s="171">
        <v>0.8</v>
      </c>
      <c r="J65" s="171">
        <v>0.8</v>
      </c>
      <c r="K65" s="171">
        <v>0.8</v>
      </c>
      <c r="L65" s="172">
        <v>0.8</v>
      </c>
      <c r="M65" s="21"/>
    </row>
    <row r="66" spans="1:13" s="30" customFormat="1" ht="12.75">
      <c r="A66" s="8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21"/>
    </row>
    <row r="67" spans="1:13" s="30" customFormat="1" ht="12.75">
      <c r="A67" s="280" t="s">
        <v>396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21"/>
    </row>
    <row r="68" spans="1:13" s="30" customFormat="1" ht="12.75">
      <c r="A68" s="281" t="str">
        <f>A63</f>
        <v>Captial Region</v>
      </c>
      <c r="B68" s="204">
        <f>B63*B31</f>
        <v>114.28571428571428</v>
      </c>
      <c r="C68" s="204">
        <f aca="true" t="shared" si="25" ref="C68:L68">C63*C31</f>
        <v>126.12244897959188</v>
      </c>
      <c r="D68" s="204">
        <f t="shared" si="25"/>
        <v>139.18513119533532</v>
      </c>
      <c r="E68" s="204">
        <f t="shared" si="25"/>
        <v>141.31267534360688</v>
      </c>
      <c r="F68" s="204">
        <f t="shared" si="25"/>
        <v>144.08297429735381</v>
      </c>
      <c r="G68" s="204">
        <f t="shared" si="25"/>
        <v>149.65256826178938</v>
      </c>
      <c r="H68" s="204">
        <f t="shared" si="25"/>
        <v>154.83027988691825</v>
      </c>
      <c r="I68" s="204">
        <f t="shared" si="25"/>
        <v>159.4751882835258</v>
      </c>
      <c r="J68" s="204">
        <f t="shared" si="25"/>
        <v>175.99226135574816</v>
      </c>
      <c r="K68" s="204">
        <f t="shared" si="25"/>
        <v>194.22003128187927</v>
      </c>
      <c r="L68" s="204">
        <f t="shared" si="25"/>
        <v>214.33567737893108</v>
      </c>
      <c r="M68" s="21"/>
    </row>
    <row r="69" spans="1:13" s="30" customFormat="1" ht="12.75">
      <c r="A69" s="281" t="str">
        <f>A64</f>
        <v>Urban Regions</v>
      </c>
      <c r="B69" s="204">
        <f>B64*B44</f>
        <v>151.97368421052636</v>
      </c>
      <c r="C69" s="204">
        <f aca="true" t="shared" si="26" ref="C69:L69">C64*C44</f>
        <v>169.31109022556393</v>
      </c>
      <c r="D69" s="204">
        <f t="shared" si="26"/>
        <v>188.62637582476603</v>
      </c>
      <c r="E69" s="204">
        <f t="shared" si="26"/>
        <v>193.33356628106245</v>
      </c>
      <c r="F69" s="204">
        <f t="shared" si="26"/>
        <v>199.00105314531325</v>
      </c>
      <c r="G69" s="204">
        <f t="shared" si="26"/>
        <v>208.6620406473499</v>
      </c>
      <c r="H69" s="204">
        <f t="shared" si="26"/>
        <v>217.937387734799</v>
      </c>
      <c r="I69" s="204">
        <f t="shared" si="26"/>
        <v>226.61337136081295</v>
      </c>
      <c r="J69" s="204">
        <f t="shared" si="26"/>
        <v>252.46579474666893</v>
      </c>
      <c r="K69" s="204">
        <f t="shared" si="26"/>
        <v>281.26750480042165</v>
      </c>
      <c r="L69" s="204">
        <f t="shared" si="26"/>
        <v>313.3549609603065</v>
      </c>
      <c r="M69" s="21"/>
    </row>
    <row r="70" spans="1:13" s="30" customFormat="1" ht="12.75">
      <c r="A70" s="281" t="str">
        <f>A65</f>
        <v>Rural Regions</v>
      </c>
      <c r="B70" s="204">
        <f>B65*B55</f>
        <v>83.00000000000001</v>
      </c>
      <c r="C70" s="204">
        <f aca="true" t="shared" si="27" ref="C70:L70">C65*C55</f>
        <v>84.63510000000002</v>
      </c>
      <c r="D70" s="204">
        <f t="shared" si="27"/>
        <v>86.30241147000002</v>
      </c>
      <c r="E70" s="204">
        <f t="shared" si="27"/>
        <v>88.00256897595901</v>
      </c>
      <c r="F70" s="204">
        <f t="shared" si="27"/>
        <v>89.73621958478542</v>
      </c>
      <c r="G70" s="204">
        <f t="shared" si="27"/>
        <v>84.18370126175724</v>
      </c>
      <c r="H70" s="204">
        <f t="shared" si="27"/>
        <v>79.31065451100193</v>
      </c>
      <c r="I70" s="204">
        <f t="shared" si="27"/>
        <v>76.11583473399405</v>
      </c>
      <c r="J70" s="204">
        <f t="shared" si="27"/>
        <v>77.61531667825373</v>
      </c>
      <c r="K70" s="204">
        <f t="shared" si="27"/>
        <v>79.14433841681534</v>
      </c>
      <c r="L70" s="204">
        <f t="shared" si="27"/>
        <v>80.7034818836266</v>
      </c>
      <c r="M70" s="21"/>
    </row>
    <row r="71" spans="1:13" s="30" customFormat="1" ht="12.75">
      <c r="A71" s="282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1"/>
    </row>
    <row r="72" spans="1:13" s="30" customFormat="1" ht="12.75">
      <c r="A72" s="278" t="s">
        <v>398</v>
      </c>
      <c r="B72" s="279">
        <f>SUM(B68:B71)</f>
        <v>349.25939849624064</v>
      </c>
      <c r="C72" s="279">
        <f aca="true" t="shared" si="28" ref="C72:L72">SUM(C68:C71)</f>
        <v>380.0686392051558</v>
      </c>
      <c r="D72" s="279">
        <f t="shared" si="28"/>
        <v>414.11391849010136</v>
      </c>
      <c r="E72" s="279">
        <f t="shared" si="28"/>
        <v>422.6488106006283</v>
      </c>
      <c r="F72" s="279">
        <f t="shared" si="28"/>
        <v>432.8202470274525</v>
      </c>
      <c r="G72" s="279">
        <f t="shared" si="28"/>
        <v>442.4983101708965</v>
      </c>
      <c r="H72" s="279">
        <f t="shared" si="28"/>
        <v>452.07832213271917</v>
      </c>
      <c r="I72" s="279">
        <f t="shared" si="28"/>
        <v>462.2043943783328</v>
      </c>
      <c r="J72" s="279">
        <f t="shared" si="28"/>
        <v>506.07337278067087</v>
      </c>
      <c r="K72" s="279">
        <f t="shared" si="28"/>
        <v>554.6318744991163</v>
      </c>
      <c r="L72" s="279">
        <f t="shared" si="28"/>
        <v>608.3941202228642</v>
      </c>
      <c r="M72" s="21"/>
    </row>
    <row r="73" spans="1:13" s="30" customFormat="1" ht="12.75">
      <c r="A73" s="8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21"/>
    </row>
    <row r="74" spans="1:13" s="30" customFormat="1" ht="12.75">
      <c r="A74" s="275" t="s">
        <v>406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21"/>
    </row>
    <row r="75" spans="1:13" s="30" customFormat="1" ht="12.75">
      <c r="A75" s="76" t="s">
        <v>35</v>
      </c>
      <c r="B75" s="77">
        <v>0</v>
      </c>
      <c r="C75" s="77">
        <v>1</v>
      </c>
      <c r="D75" s="77">
        <v>2</v>
      </c>
      <c r="E75" s="77">
        <v>3</v>
      </c>
      <c r="F75" s="77">
        <v>4</v>
      </c>
      <c r="G75" s="77">
        <v>5</v>
      </c>
      <c r="H75" s="77">
        <v>6</v>
      </c>
      <c r="I75" s="77">
        <v>7</v>
      </c>
      <c r="J75" s="77">
        <v>8</v>
      </c>
      <c r="K75" s="77">
        <v>9</v>
      </c>
      <c r="L75" s="77">
        <v>10</v>
      </c>
      <c r="M75" s="33"/>
    </row>
    <row r="76" spans="1:13" s="30" customFormat="1" ht="12.75">
      <c r="A76" s="78"/>
      <c r="B76" s="77">
        <f>C76-1</f>
        <v>1998</v>
      </c>
      <c r="C76" s="77">
        <f>Assumptions!B7</f>
        <v>1999</v>
      </c>
      <c r="D76" s="77">
        <f>C76+1</f>
        <v>2000</v>
      </c>
      <c r="E76" s="77">
        <f aca="true" t="shared" si="29" ref="E76:L76">D76+1</f>
        <v>2001</v>
      </c>
      <c r="F76" s="77">
        <f t="shared" si="29"/>
        <v>2002</v>
      </c>
      <c r="G76" s="77">
        <f t="shared" si="29"/>
        <v>2003</v>
      </c>
      <c r="H76" s="77">
        <f t="shared" si="29"/>
        <v>2004</v>
      </c>
      <c r="I76" s="77">
        <f t="shared" si="29"/>
        <v>2005</v>
      </c>
      <c r="J76" s="77">
        <f t="shared" si="29"/>
        <v>2006</v>
      </c>
      <c r="K76" s="77">
        <f t="shared" si="29"/>
        <v>2007</v>
      </c>
      <c r="L76" s="77">
        <f t="shared" si="29"/>
        <v>2008</v>
      </c>
      <c r="M76" s="33"/>
    </row>
    <row r="77" spans="1:13" s="30" customFormat="1" ht="12.75">
      <c r="A77" s="87" t="s">
        <v>402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21"/>
    </row>
    <row r="78" spans="1:13" s="30" customFormat="1" ht="12.75">
      <c r="A78" s="155" t="str">
        <f>A4</f>
        <v>Captial Region</v>
      </c>
      <c r="B78" s="75">
        <f>ROUNDUP(B68*1000/$B$11,0)</f>
        <v>77</v>
      </c>
      <c r="C78" s="75">
        <f aca="true" t="shared" si="30" ref="C78:L78">ROUNDUP(C68*1000/$B$11,0)</f>
        <v>85</v>
      </c>
      <c r="D78" s="75">
        <f t="shared" si="30"/>
        <v>93</v>
      </c>
      <c r="E78" s="75">
        <f t="shared" si="30"/>
        <v>95</v>
      </c>
      <c r="F78" s="75">
        <f t="shared" si="30"/>
        <v>97</v>
      </c>
      <c r="G78" s="75">
        <f t="shared" si="30"/>
        <v>100</v>
      </c>
      <c r="H78" s="75">
        <f t="shared" si="30"/>
        <v>104</v>
      </c>
      <c r="I78" s="75">
        <f t="shared" si="30"/>
        <v>107</v>
      </c>
      <c r="J78" s="75">
        <f t="shared" si="30"/>
        <v>118</v>
      </c>
      <c r="K78" s="75">
        <f t="shared" si="30"/>
        <v>130</v>
      </c>
      <c r="L78" s="75">
        <f t="shared" si="30"/>
        <v>144</v>
      </c>
      <c r="M78" s="21"/>
    </row>
    <row r="79" spans="1:13" s="30" customFormat="1" ht="12.75">
      <c r="A79" s="155" t="str">
        <f>A5</f>
        <v>Urban Regions</v>
      </c>
      <c r="B79" s="75">
        <f aca="true" t="shared" si="31" ref="B79:L80">ROUNDUP(B69*1000/$B$11,0)</f>
        <v>102</v>
      </c>
      <c r="C79" s="75">
        <f t="shared" si="31"/>
        <v>114</v>
      </c>
      <c r="D79" s="75">
        <f t="shared" si="31"/>
        <v>127</v>
      </c>
      <c r="E79" s="75">
        <f t="shared" si="31"/>
        <v>130</v>
      </c>
      <c r="F79" s="75">
        <f t="shared" si="31"/>
        <v>133</v>
      </c>
      <c r="G79" s="75">
        <f t="shared" si="31"/>
        <v>140</v>
      </c>
      <c r="H79" s="75">
        <f t="shared" si="31"/>
        <v>146</v>
      </c>
      <c r="I79" s="75">
        <f t="shared" si="31"/>
        <v>152</v>
      </c>
      <c r="J79" s="75">
        <f t="shared" si="31"/>
        <v>169</v>
      </c>
      <c r="K79" s="75">
        <f t="shared" si="31"/>
        <v>188</v>
      </c>
      <c r="L79" s="75">
        <f t="shared" si="31"/>
        <v>210</v>
      </c>
      <c r="M79" s="21"/>
    </row>
    <row r="80" spans="1:13" s="30" customFormat="1" ht="12.75">
      <c r="A80" s="155" t="str">
        <f>A6</f>
        <v>Rural Regions</v>
      </c>
      <c r="B80" s="75">
        <f t="shared" si="31"/>
        <v>56</v>
      </c>
      <c r="C80" s="75">
        <f t="shared" si="31"/>
        <v>57</v>
      </c>
      <c r="D80" s="75">
        <f t="shared" si="31"/>
        <v>58</v>
      </c>
      <c r="E80" s="75">
        <f t="shared" si="31"/>
        <v>59</v>
      </c>
      <c r="F80" s="75">
        <f t="shared" si="31"/>
        <v>60</v>
      </c>
      <c r="G80" s="75">
        <f t="shared" si="31"/>
        <v>57</v>
      </c>
      <c r="H80" s="75">
        <f t="shared" si="31"/>
        <v>53</v>
      </c>
      <c r="I80" s="75">
        <f t="shared" si="31"/>
        <v>51</v>
      </c>
      <c r="J80" s="75">
        <f t="shared" si="31"/>
        <v>52</v>
      </c>
      <c r="K80" s="75">
        <f t="shared" si="31"/>
        <v>53</v>
      </c>
      <c r="L80" s="75">
        <f t="shared" si="31"/>
        <v>54</v>
      </c>
      <c r="M80" s="21"/>
    </row>
    <row r="81" spans="1:13" s="30" customFormat="1" ht="12.75">
      <c r="A81" s="83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21"/>
    </row>
    <row r="82" spans="1:13" s="30" customFormat="1" ht="12.75">
      <c r="A82" s="155" t="s">
        <v>403</v>
      </c>
      <c r="B82" s="79">
        <f aca="true" t="shared" si="32" ref="B82:L82">SUM(B78:B81)</f>
        <v>235</v>
      </c>
      <c r="C82" s="79">
        <f t="shared" si="32"/>
        <v>256</v>
      </c>
      <c r="D82" s="79">
        <f t="shared" si="32"/>
        <v>278</v>
      </c>
      <c r="E82" s="79">
        <f t="shared" si="32"/>
        <v>284</v>
      </c>
      <c r="F82" s="79">
        <f t="shared" si="32"/>
        <v>290</v>
      </c>
      <c r="G82" s="79">
        <f t="shared" si="32"/>
        <v>297</v>
      </c>
      <c r="H82" s="79">
        <f t="shared" si="32"/>
        <v>303</v>
      </c>
      <c r="I82" s="79">
        <f t="shared" si="32"/>
        <v>310</v>
      </c>
      <c r="J82" s="79">
        <f t="shared" si="32"/>
        <v>339</v>
      </c>
      <c r="K82" s="79">
        <f t="shared" si="32"/>
        <v>371</v>
      </c>
      <c r="L82" s="79">
        <f t="shared" si="32"/>
        <v>408</v>
      </c>
      <c r="M82" s="21"/>
    </row>
    <row r="83" spans="1:13" s="30" customFormat="1" ht="12.75">
      <c r="A83" s="8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21"/>
    </row>
    <row r="84" spans="1:13" s="30" customFormat="1" ht="12.75">
      <c r="A84" s="87" t="s">
        <v>404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21"/>
    </row>
    <row r="85" spans="1:13" s="30" customFormat="1" ht="12.75">
      <c r="A85" s="155" t="str">
        <f>A4</f>
        <v>Captial Region</v>
      </c>
      <c r="B85" s="311">
        <v>1</v>
      </c>
      <c r="C85" s="75">
        <f aca="true" t="shared" si="33" ref="C85:L85">ROUNDUP(C68/$B$10,0)</f>
        <v>2</v>
      </c>
      <c r="D85" s="75">
        <f t="shared" si="33"/>
        <v>2</v>
      </c>
      <c r="E85" s="75">
        <f t="shared" si="33"/>
        <v>2</v>
      </c>
      <c r="F85" s="75">
        <f t="shared" si="33"/>
        <v>2</v>
      </c>
      <c r="G85" s="75">
        <f t="shared" si="33"/>
        <v>2</v>
      </c>
      <c r="H85" s="75">
        <f t="shared" si="33"/>
        <v>2</v>
      </c>
      <c r="I85" s="75">
        <f t="shared" si="33"/>
        <v>2</v>
      </c>
      <c r="J85" s="75">
        <f t="shared" si="33"/>
        <v>2</v>
      </c>
      <c r="K85" s="75">
        <f t="shared" si="33"/>
        <v>2</v>
      </c>
      <c r="L85" s="75">
        <f t="shared" si="33"/>
        <v>3</v>
      </c>
      <c r="M85" s="21"/>
    </row>
    <row r="86" spans="1:13" s="30" customFormat="1" ht="12.75">
      <c r="A86" s="155" t="str">
        <f>A5</f>
        <v>Urban Regions</v>
      </c>
      <c r="B86" s="75">
        <f>MAX(ROUNDUP(B69/$B$10,0),COUNT(B35:B38))</f>
        <v>4</v>
      </c>
      <c r="C86" s="75">
        <f aca="true" t="shared" si="34" ref="C86:L86">MAX(ROUNDUP(C69/$B$10,0),COUNT(C35:C38))</f>
        <v>4</v>
      </c>
      <c r="D86" s="75">
        <f t="shared" si="34"/>
        <v>4</v>
      </c>
      <c r="E86" s="75">
        <f t="shared" si="34"/>
        <v>4</v>
      </c>
      <c r="F86" s="75">
        <f t="shared" si="34"/>
        <v>4</v>
      </c>
      <c r="G86" s="75">
        <f t="shared" si="34"/>
        <v>4</v>
      </c>
      <c r="H86" s="75">
        <f t="shared" si="34"/>
        <v>4</v>
      </c>
      <c r="I86" s="75">
        <f t="shared" si="34"/>
        <v>4</v>
      </c>
      <c r="J86" s="75">
        <f t="shared" si="34"/>
        <v>4</v>
      </c>
      <c r="K86" s="75">
        <f t="shared" si="34"/>
        <v>4</v>
      </c>
      <c r="L86" s="75">
        <f t="shared" si="34"/>
        <v>4</v>
      </c>
      <c r="M86" s="21"/>
    </row>
    <row r="87" spans="1:13" s="30" customFormat="1" ht="12.75">
      <c r="A87" s="155" t="str">
        <f>A6</f>
        <v>Rural Regions</v>
      </c>
      <c r="B87" s="75">
        <f aca="true" t="shared" si="35" ref="B87:L87">ROUNDUP(B70/$B$10,0)</f>
        <v>1</v>
      </c>
      <c r="C87" s="75">
        <f t="shared" si="35"/>
        <v>1</v>
      </c>
      <c r="D87" s="75">
        <f t="shared" si="35"/>
        <v>1</v>
      </c>
      <c r="E87" s="75">
        <f t="shared" si="35"/>
        <v>1</v>
      </c>
      <c r="F87" s="75">
        <f t="shared" si="35"/>
        <v>1</v>
      </c>
      <c r="G87" s="75">
        <f t="shared" si="35"/>
        <v>1</v>
      </c>
      <c r="H87" s="75">
        <f t="shared" si="35"/>
        <v>1</v>
      </c>
      <c r="I87" s="75">
        <f t="shared" si="35"/>
        <v>1</v>
      </c>
      <c r="J87" s="75">
        <f t="shared" si="35"/>
        <v>1</v>
      </c>
      <c r="K87" s="75">
        <f t="shared" si="35"/>
        <v>1</v>
      </c>
      <c r="L87" s="75">
        <f t="shared" si="35"/>
        <v>1</v>
      </c>
      <c r="M87" s="21"/>
    </row>
    <row r="88" spans="1:13" s="30" customFormat="1" ht="12.75">
      <c r="A88" s="83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21"/>
    </row>
    <row r="89" spans="1:13" s="30" customFormat="1" ht="12.75">
      <c r="A89" s="155" t="s">
        <v>405</v>
      </c>
      <c r="B89" s="79">
        <f aca="true" t="shared" si="36" ref="B89:L89">SUM(B85:B88)</f>
        <v>6</v>
      </c>
      <c r="C89" s="79">
        <f t="shared" si="36"/>
        <v>7</v>
      </c>
      <c r="D89" s="79">
        <f t="shared" si="36"/>
        <v>7</v>
      </c>
      <c r="E89" s="79">
        <f t="shared" si="36"/>
        <v>7</v>
      </c>
      <c r="F89" s="79">
        <f t="shared" si="36"/>
        <v>7</v>
      </c>
      <c r="G89" s="79">
        <f t="shared" si="36"/>
        <v>7</v>
      </c>
      <c r="H89" s="79">
        <f t="shared" si="36"/>
        <v>7</v>
      </c>
      <c r="I89" s="79">
        <f t="shared" si="36"/>
        <v>7</v>
      </c>
      <c r="J89" s="79">
        <f t="shared" si="36"/>
        <v>7</v>
      </c>
      <c r="K89" s="79">
        <f t="shared" si="36"/>
        <v>7</v>
      </c>
      <c r="L89" s="79">
        <f t="shared" si="36"/>
        <v>8</v>
      </c>
      <c r="M89" s="21"/>
    </row>
    <row r="90" spans="1:13" s="30" customFormat="1" ht="12.75">
      <c r="A90" s="8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21"/>
    </row>
    <row r="91" spans="1:13" s="30" customFormat="1" ht="12.75">
      <c r="A91" s="84"/>
      <c r="B91" s="79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21"/>
    </row>
    <row r="92" spans="1:13" s="30" customFormat="1" ht="12.75">
      <c r="A92" s="85" t="s">
        <v>40</v>
      </c>
      <c r="B92" s="75"/>
      <c r="C92" s="75"/>
      <c r="D92" s="75"/>
      <c r="E92" s="12"/>
      <c r="F92" s="179"/>
      <c r="G92" s="179"/>
      <c r="H92" s="75"/>
      <c r="I92" s="75"/>
      <c r="J92" s="75"/>
      <c r="K92" s="75"/>
      <c r="L92" s="75"/>
      <c r="M92" s="21"/>
    </row>
    <row r="93" spans="1:13" s="30" customFormat="1" ht="12.75">
      <c r="A93" s="81"/>
      <c r="B93" s="1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21"/>
    </row>
    <row r="94" spans="1:13" s="30" customFormat="1" ht="12.75">
      <c r="A94" s="76" t="s">
        <v>35</v>
      </c>
      <c r="B94" s="77">
        <v>0</v>
      </c>
      <c r="C94" s="77">
        <v>1</v>
      </c>
      <c r="D94" s="77">
        <v>2</v>
      </c>
      <c r="E94" s="77">
        <v>3</v>
      </c>
      <c r="F94" s="77">
        <v>4</v>
      </c>
      <c r="G94" s="77">
        <v>5</v>
      </c>
      <c r="H94" s="77">
        <v>6</v>
      </c>
      <c r="I94" s="77">
        <v>7</v>
      </c>
      <c r="J94" s="77">
        <v>8</v>
      </c>
      <c r="K94" s="77">
        <v>9</v>
      </c>
      <c r="L94" s="77">
        <v>10</v>
      </c>
      <c r="M94" s="33"/>
    </row>
    <row r="95" spans="1:13" s="30" customFormat="1" ht="12.75">
      <c r="A95" s="78"/>
      <c r="B95" s="77">
        <f>C95-1</f>
        <v>1998</v>
      </c>
      <c r="C95" s="77">
        <f>Assumptions!B7</f>
        <v>1999</v>
      </c>
      <c r="D95" s="77">
        <f>C95+1</f>
        <v>2000</v>
      </c>
      <c r="E95" s="77">
        <f aca="true" t="shared" si="37" ref="E95:L95">D95+1</f>
        <v>2001</v>
      </c>
      <c r="F95" s="77">
        <f t="shared" si="37"/>
        <v>2002</v>
      </c>
      <c r="G95" s="77">
        <f t="shared" si="37"/>
        <v>2003</v>
      </c>
      <c r="H95" s="77">
        <f t="shared" si="37"/>
        <v>2004</v>
      </c>
      <c r="I95" s="77">
        <f t="shared" si="37"/>
        <v>2005</v>
      </c>
      <c r="J95" s="77">
        <f t="shared" si="37"/>
        <v>2006</v>
      </c>
      <c r="K95" s="77">
        <f t="shared" si="37"/>
        <v>2007</v>
      </c>
      <c r="L95" s="77">
        <f t="shared" si="37"/>
        <v>2008</v>
      </c>
      <c r="M95" s="33"/>
    </row>
    <row r="96" spans="1:13" s="30" customFormat="1" ht="12.75">
      <c r="A96" s="87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21"/>
    </row>
    <row r="97" spans="1:13" s="30" customFormat="1" ht="12.75">
      <c r="A97" s="81" t="s">
        <v>407</v>
      </c>
      <c r="B97" s="173">
        <f>B72</f>
        <v>349.25939849624064</v>
      </c>
      <c r="C97" s="173">
        <f aca="true" t="shared" si="38" ref="C97:L97">C72</f>
        <v>380.0686392051558</v>
      </c>
      <c r="D97" s="173">
        <f t="shared" si="38"/>
        <v>414.11391849010136</v>
      </c>
      <c r="E97" s="173">
        <f t="shared" si="38"/>
        <v>422.6488106006283</v>
      </c>
      <c r="F97" s="173">
        <f t="shared" si="38"/>
        <v>432.8202470274525</v>
      </c>
      <c r="G97" s="173">
        <f t="shared" si="38"/>
        <v>442.4983101708965</v>
      </c>
      <c r="H97" s="173">
        <f t="shared" si="38"/>
        <v>452.07832213271917</v>
      </c>
      <c r="I97" s="173">
        <f t="shared" si="38"/>
        <v>462.2043943783328</v>
      </c>
      <c r="J97" s="173">
        <f t="shared" si="38"/>
        <v>506.07337278067087</v>
      </c>
      <c r="K97" s="173">
        <f t="shared" si="38"/>
        <v>554.6318744991163</v>
      </c>
      <c r="L97" s="173">
        <f t="shared" si="38"/>
        <v>608.3941202228642</v>
      </c>
      <c r="M97" s="21"/>
    </row>
    <row r="98" spans="1:13" s="30" customFormat="1" ht="12.75">
      <c r="A98" s="83" t="s">
        <v>41</v>
      </c>
      <c r="B98" s="121">
        <v>30</v>
      </c>
      <c r="C98" s="173">
        <f aca="true" t="shared" si="39" ref="C98:L98">C97-B97</f>
        <v>30.809240708915183</v>
      </c>
      <c r="D98" s="173">
        <f t="shared" si="39"/>
        <v>34.045279284945536</v>
      </c>
      <c r="E98" s="173">
        <f t="shared" si="39"/>
        <v>8.534892110526926</v>
      </c>
      <c r="F98" s="173">
        <f t="shared" si="39"/>
        <v>10.171436426824243</v>
      </c>
      <c r="G98" s="173">
        <f t="shared" si="39"/>
        <v>9.678063143443978</v>
      </c>
      <c r="H98" s="173">
        <f t="shared" si="39"/>
        <v>9.580011961822663</v>
      </c>
      <c r="I98" s="173">
        <f t="shared" si="39"/>
        <v>10.126072245613614</v>
      </c>
      <c r="J98" s="173">
        <f t="shared" si="39"/>
        <v>43.86897840233809</v>
      </c>
      <c r="K98" s="173">
        <f t="shared" si="39"/>
        <v>48.55850171844543</v>
      </c>
      <c r="L98" s="173">
        <f t="shared" si="39"/>
        <v>53.762245723747924</v>
      </c>
      <c r="M98" s="21"/>
    </row>
    <row r="99" spans="1:13" s="30" customFormat="1" ht="12.75">
      <c r="A99" s="83" t="s">
        <v>42</v>
      </c>
      <c r="B99" s="173"/>
      <c r="C99" s="173">
        <f aca="true" t="shared" si="40" ref="C99:L99">C19*B97</f>
        <v>17.462969924812032</v>
      </c>
      <c r="D99" s="173">
        <f t="shared" si="40"/>
        <v>19.003431960257792</v>
      </c>
      <c r="E99" s="173">
        <f t="shared" si="40"/>
        <v>41.41139184901014</v>
      </c>
      <c r="F99" s="173">
        <f t="shared" si="40"/>
        <v>42.264881060062834</v>
      </c>
      <c r="G99" s="173">
        <f t="shared" si="40"/>
        <v>43.282024702745254</v>
      </c>
      <c r="H99" s="173">
        <f t="shared" si="40"/>
        <v>44.249831017089654</v>
      </c>
      <c r="I99" s="173">
        <f t="shared" si="40"/>
        <v>45.20783221327192</v>
      </c>
      <c r="J99" s="173">
        <f t="shared" si="40"/>
        <v>46.22043943783328</v>
      </c>
      <c r="K99" s="173">
        <f t="shared" si="40"/>
        <v>50.60733727806709</v>
      </c>
      <c r="L99" s="173">
        <f t="shared" si="40"/>
        <v>55.46318744991163</v>
      </c>
      <c r="M99" s="21"/>
    </row>
    <row r="100" spans="1:13" s="30" customFormat="1" ht="12.75">
      <c r="A100" s="83" t="s">
        <v>431</v>
      </c>
      <c r="B100" s="173">
        <f aca="true" t="shared" si="41" ref="B100:L100">SUM(B98:B99)</f>
        <v>30</v>
      </c>
      <c r="C100" s="173">
        <f t="shared" si="41"/>
        <v>48.27221063372721</v>
      </c>
      <c r="D100" s="173">
        <f t="shared" si="41"/>
        <v>53.04871124520333</v>
      </c>
      <c r="E100" s="173">
        <f t="shared" si="41"/>
        <v>49.94628395953706</v>
      </c>
      <c r="F100" s="173">
        <f t="shared" si="41"/>
        <v>52.43631748688708</v>
      </c>
      <c r="G100" s="173">
        <f t="shared" si="41"/>
        <v>52.96008784618923</v>
      </c>
      <c r="H100" s="173">
        <f t="shared" si="41"/>
        <v>53.82984297891232</v>
      </c>
      <c r="I100" s="173">
        <f t="shared" si="41"/>
        <v>55.333904458885534</v>
      </c>
      <c r="J100" s="173">
        <f t="shared" si="41"/>
        <v>90.08941784017136</v>
      </c>
      <c r="K100" s="173">
        <f t="shared" si="41"/>
        <v>99.16583899651252</v>
      </c>
      <c r="L100" s="173">
        <f t="shared" si="41"/>
        <v>109.22543317365955</v>
      </c>
      <c r="M100" s="21"/>
    </row>
    <row r="101" spans="1:13" s="30" customFormat="1" ht="12.75">
      <c r="A101" s="81" t="s">
        <v>430</v>
      </c>
      <c r="B101" s="173">
        <f>(B97+B97-B98)/2</f>
        <v>334.25939849624064</v>
      </c>
      <c r="C101" s="173">
        <f aca="true" t="shared" si="42" ref="C101:L101">(C97+B97)/2</f>
        <v>364.6640188506982</v>
      </c>
      <c r="D101" s="173">
        <f t="shared" si="42"/>
        <v>397.0912788476286</v>
      </c>
      <c r="E101" s="173">
        <f t="shared" si="42"/>
        <v>418.3813645453648</v>
      </c>
      <c r="F101" s="173">
        <f t="shared" si="42"/>
        <v>427.7345288140404</v>
      </c>
      <c r="G101" s="173">
        <f t="shared" si="42"/>
        <v>437.6592785991745</v>
      </c>
      <c r="H101" s="173">
        <f t="shared" si="42"/>
        <v>447.28831615180786</v>
      </c>
      <c r="I101" s="173">
        <f t="shared" si="42"/>
        <v>457.141358255526</v>
      </c>
      <c r="J101" s="173">
        <f t="shared" si="42"/>
        <v>484.1388835795018</v>
      </c>
      <c r="K101" s="173">
        <f t="shared" si="42"/>
        <v>530.3526236398936</v>
      </c>
      <c r="L101" s="173">
        <f t="shared" si="42"/>
        <v>581.5129973609903</v>
      </c>
      <c r="M101" s="21"/>
    </row>
    <row r="102" spans="1:13" s="30" customFormat="1" ht="12.75">
      <c r="A102" s="85" t="s">
        <v>43</v>
      </c>
      <c r="B102" s="176">
        <f aca="true" t="shared" si="43" ref="B102:L102">B17</f>
        <v>137.4336673734971</v>
      </c>
      <c r="C102" s="176">
        <f t="shared" si="43"/>
        <v>130.56198400482222</v>
      </c>
      <c r="D102" s="176">
        <f t="shared" si="43"/>
        <v>124.03388480458112</v>
      </c>
      <c r="E102" s="176">
        <f t="shared" si="43"/>
        <v>117.83219056435205</v>
      </c>
      <c r="F102" s="176">
        <f t="shared" si="43"/>
        <v>111.94058103613446</v>
      </c>
      <c r="G102" s="176">
        <f t="shared" si="43"/>
        <v>106.34355198432773</v>
      </c>
      <c r="H102" s="176">
        <f t="shared" si="43"/>
        <v>101.02637438511134</v>
      </c>
      <c r="I102" s="176">
        <f t="shared" si="43"/>
        <v>95.97505566585578</v>
      </c>
      <c r="J102" s="176">
        <f t="shared" si="43"/>
        <v>91.176302882563</v>
      </c>
      <c r="K102" s="176">
        <f t="shared" si="43"/>
        <v>86.61748773843483</v>
      </c>
      <c r="L102" s="176">
        <f t="shared" si="43"/>
        <v>82.2866133515131</v>
      </c>
      <c r="M102" s="21"/>
    </row>
    <row r="103" spans="1:13" s="30" customFormat="1" ht="12.75">
      <c r="A103" s="290" t="s">
        <v>409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21"/>
    </row>
    <row r="104" spans="1:13" s="30" customFormat="1" ht="12.75">
      <c r="A104" s="81" t="str">
        <f>'Tariffs&amp;Usage'!A12</f>
        <v>Connection</v>
      </c>
      <c r="B104" s="284">
        <f>'Tariffs&amp;Usage'!$D$12</f>
        <v>50</v>
      </c>
      <c r="C104" s="284">
        <f>'Tariffs&amp;Usage'!$D$12</f>
        <v>50</v>
      </c>
      <c r="D104" s="284">
        <f>'Tariffs&amp;Usage'!$D$12</f>
        <v>50</v>
      </c>
      <c r="E104" s="284">
        <f>'Tariffs&amp;Usage'!$D$12</f>
        <v>50</v>
      </c>
      <c r="F104" s="284">
        <f>'Tariffs&amp;Usage'!$D$12</f>
        <v>50</v>
      </c>
      <c r="G104" s="284">
        <f>'Tariffs&amp;Usage'!$D$12</f>
        <v>50</v>
      </c>
      <c r="H104" s="284">
        <f>'Tariffs&amp;Usage'!$D$12</f>
        <v>50</v>
      </c>
      <c r="I104" s="284">
        <f>'Tariffs&amp;Usage'!$D$12</f>
        <v>50</v>
      </c>
      <c r="J104" s="284">
        <f>'Tariffs&amp;Usage'!$D$12</f>
        <v>50</v>
      </c>
      <c r="K104" s="284">
        <f>'Tariffs&amp;Usage'!$D$12</f>
        <v>50</v>
      </c>
      <c r="L104" s="284">
        <f>'Tariffs&amp;Usage'!$D$12</f>
        <v>50</v>
      </c>
      <c r="M104" s="21"/>
    </row>
    <row r="105" spans="1:13" s="30" customFormat="1" ht="12.75">
      <c r="A105" s="81" t="str">
        <f>'Tariffs&amp;Usage'!A13</f>
        <v>Monthy subs.</v>
      </c>
      <c r="B105" s="284">
        <f>'Tariffs&amp;Usage'!$D$13</f>
        <v>10</v>
      </c>
      <c r="C105" s="284">
        <f>'Tariffs&amp;Usage'!$D$13</f>
        <v>10</v>
      </c>
      <c r="D105" s="284">
        <f>'Tariffs&amp;Usage'!$D$13</f>
        <v>10</v>
      </c>
      <c r="E105" s="284">
        <f>'Tariffs&amp;Usage'!$D$13</f>
        <v>10</v>
      </c>
      <c r="F105" s="284">
        <f>'Tariffs&amp;Usage'!$D$13</f>
        <v>10</v>
      </c>
      <c r="G105" s="284">
        <f>'Tariffs&amp;Usage'!$D$13</f>
        <v>10</v>
      </c>
      <c r="H105" s="284">
        <f>'Tariffs&amp;Usage'!$D$13</f>
        <v>10</v>
      </c>
      <c r="I105" s="284">
        <f>'Tariffs&amp;Usage'!$D$13</f>
        <v>10</v>
      </c>
      <c r="J105" s="284">
        <f>'Tariffs&amp;Usage'!$D$13</f>
        <v>10</v>
      </c>
      <c r="K105" s="284">
        <f>'Tariffs&amp;Usage'!$D$13</f>
        <v>10</v>
      </c>
      <c r="L105" s="284">
        <f>'Tariffs&amp;Usage'!$D$13</f>
        <v>10</v>
      </c>
      <c r="M105" s="21"/>
    </row>
    <row r="106" spans="1:13" s="30" customFormat="1" ht="12.75">
      <c r="A106" s="81" t="str">
        <f>'Tariffs&amp;Usage'!A14</f>
        <v>Local-peak</v>
      </c>
      <c r="B106" s="124">
        <f>'Tariffs&amp;Usage'!$D$14</f>
        <v>0.1</v>
      </c>
      <c r="C106" s="124">
        <f>'Tariffs&amp;Usage'!$D$14</f>
        <v>0.1</v>
      </c>
      <c r="D106" s="124">
        <f>'Tariffs&amp;Usage'!$D$14</f>
        <v>0.1</v>
      </c>
      <c r="E106" s="124">
        <f>'Tariffs&amp;Usage'!$D$14</f>
        <v>0.1</v>
      </c>
      <c r="F106" s="124">
        <f>'Tariffs&amp;Usage'!$D$14</f>
        <v>0.1</v>
      </c>
      <c r="G106" s="124">
        <f>'Tariffs&amp;Usage'!$D$14</f>
        <v>0.1</v>
      </c>
      <c r="H106" s="124">
        <f>'Tariffs&amp;Usage'!$D$14</f>
        <v>0.1</v>
      </c>
      <c r="I106" s="124">
        <f>'Tariffs&amp;Usage'!$D$14</f>
        <v>0.1</v>
      </c>
      <c r="J106" s="124">
        <f>'Tariffs&amp;Usage'!$D$14</f>
        <v>0.1</v>
      </c>
      <c r="K106" s="124">
        <f>'Tariffs&amp;Usage'!$D$14</f>
        <v>0.1</v>
      </c>
      <c r="L106" s="124">
        <f>'Tariffs&amp;Usage'!$D$14</f>
        <v>0.1</v>
      </c>
      <c r="M106" s="21"/>
    </row>
    <row r="107" spans="1:13" s="30" customFormat="1" ht="12.75">
      <c r="A107" s="81" t="str">
        <f>'Tariffs&amp;Usage'!A15</f>
        <v>Local-off-peak</v>
      </c>
      <c r="B107" s="124">
        <f>'Tariffs&amp;Usage'!$D$15</f>
        <v>0.05</v>
      </c>
      <c r="C107" s="124">
        <f>'Tariffs&amp;Usage'!$D$15</f>
        <v>0.05</v>
      </c>
      <c r="D107" s="124">
        <f>'Tariffs&amp;Usage'!$D$15</f>
        <v>0.05</v>
      </c>
      <c r="E107" s="124">
        <f>'Tariffs&amp;Usage'!$D$15</f>
        <v>0.05</v>
      </c>
      <c r="F107" s="124">
        <f>'Tariffs&amp;Usage'!$D$15</f>
        <v>0.05</v>
      </c>
      <c r="G107" s="124">
        <f>'Tariffs&amp;Usage'!$D$15</f>
        <v>0.05</v>
      </c>
      <c r="H107" s="124">
        <f>'Tariffs&amp;Usage'!$D$15</f>
        <v>0.05</v>
      </c>
      <c r="I107" s="124">
        <f>'Tariffs&amp;Usage'!$D$15</f>
        <v>0.05</v>
      </c>
      <c r="J107" s="124">
        <f>'Tariffs&amp;Usage'!$D$15</f>
        <v>0.05</v>
      </c>
      <c r="K107" s="124">
        <f>'Tariffs&amp;Usage'!$D$15</f>
        <v>0.05</v>
      </c>
      <c r="L107" s="124">
        <f>'Tariffs&amp;Usage'!$D$15</f>
        <v>0.05</v>
      </c>
      <c r="M107" s="21"/>
    </row>
    <row r="108" spans="1:13" s="30" customFormat="1" ht="12.75">
      <c r="A108" s="81" t="str">
        <f>'Tariffs&amp;Usage'!A16</f>
        <v>Metro</v>
      </c>
      <c r="B108" s="124">
        <f>'Tariffs&amp;Usage'!$D$16</f>
        <v>0.25</v>
      </c>
      <c r="C108" s="124">
        <f>'Tariffs&amp;Usage'!$D$16</f>
        <v>0.25</v>
      </c>
      <c r="D108" s="124">
        <f>'Tariffs&amp;Usage'!$D$16</f>
        <v>0.25</v>
      </c>
      <c r="E108" s="124">
        <f>'Tariffs&amp;Usage'!$D$16</f>
        <v>0.25</v>
      </c>
      <c r="F108" s="124">
        <f>'Tariffs&amp;Usage'!$D$16</f>
        <v>0.25</v>
      </c>
      <c r="G108" s="124">
        <f>'Tariffs&amp;Usage'!$D$16</f>
        <v>0.25</v>
      </c>
      <c r="H108" s="124">
        <f>'Tariffs&amp;Usage'!$D$16</f>
        <v>0.25</v>
      </c>
      <c r="I108" s="124">
        <f>'Tariffs&amp;Usage'!$D$16</f>
        <v>0.25</v>
      </c>
      <c r="J108" s="124">
        <f>'Tariffs&amp;Usage'!$D$16</f>
        <v>0.25</v>
      </c>
      <c r="K108" s="124">
        <f>'Tariffs&amp;Usage'!$D$16</f>
        <v>0.25</v>
      </c>
      <c r="L108" s="124">
        <f>'Tariffs&amp;Usage'!$D$16</f>
        <v>0.25</v>
      </c>
      <c r="M108" s="21"/>
    </row>
    <row r="109" spans="1:13" s="30" customFormat="1" ht="12.75">
      <c r="A109" s="81" t="str">
        <f>'Tariffs&amp;Usage'!A17</f>
        <v>Trunk</v>
      </c>
      <c r="B109" s="124">
        <f>'Tariffs&amp;Usage'!$D$17</f>
        <v>1</v>
      </c>
      <c r="C109" s="124">
        <f>'Tariffs&amp;Usage'!$D$17</f>
        <v>1</v>
      </c>
      <c r="D109" s="124">
        <f>'Tariffs&amp;Usage'!$D$17</f>
        <v>1</v>
      </c>
      <c r="E109" s="124">
        <f>'Tariffs&amp;Usage'!$D$17</f>
        <v>1</v>
      </c>
      <c r="F109" s="124">
        <f>'Tariffs&amp;Usage'!$D$17</f>
        <v>1</v>
      </c>
      <c r="G109" s="124">
        <f>'Tariffs&amp;Usage'!$D$17</f>
        <v>1</v>
      </c>
      <c r="H109" s="124">
        <f>'Tariffs&amp;Usage'!$D$17</f>
        <v>1</v>
      </c>
      <c r="I109" s="124">
        <f>'Tariffs&amp;Usage'!$D$17</f>
        <v>1</v>
      </c>
      <c r="J109" s="124">
        <f>'Tariffs&amp;Usage'!$D$17</f>
        <v>1</v>
      </c>
      <c r="K109" s="124">
        <f>'Tariffs&amp;Usage'!$D$17</f>
        <v>1</v>
      </c>
      <c r="L109" s="124">
        <f>'Tariffs&amp;Usage'!$D$17</f>
        <v>1</v>
      </c>
      <c r="M109" s="21"/>
    </row>
    <row r="110" spans="1:13" s="30" customFormat="1" ht="12.75">
      <c r="A110" s="291" t="s">
        <v>225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21"/>
    </row>
    <row r="111" spans="1:13" s="30" customFormat="1" ht="12.75">
      <c r="A111" s="81" t="str">
        <f>'Tariffs&amp;Usage'!A14</f>
        <v>Local-peak</v>
      </c>
      <c r="B111" s="292">
        <f>'Tariffs&amp;Usage'!$F14</f>
        <v>0.65625</v>
      </c>
      <c r="C111" s="292">
        <f>'Tariffs&amp;Usage'!$F14</f>
        <v>0.65625</v>
      </c>
      <c r="D111" s="292">
        <f>'Tariffs&amp;Usage'!$F14</f>
        <v>0.65625</v>
      </c>
      <c r="E111" s="292">
        <f>'Tariffs&amp;Usage'!$F14</f>
        <v>0.65625</v>
      </c>
      <c r="F111" s="292">
        <f>'Tariffs&amp;Usage'!$F14</f>
        <v>0.65625</v>
      </c>
      <c r="G111" s="292">
        <f>'Tariffs&amp;Usage'!$F14</f>
        <v>0.65625</v>
      </c>
      <c r="H111" s="292">
        <f>'Tariffs&amp;Usage'!$F14</f>
        <v>0.65625</v>
      </c>
      <c r="I111" s="292">
        <f>'Tariffs&amp;Usage'!$F14</f>
        <v>0.65625</v>
      </c>
      <c r="J111" s="292">
        <f>'Tariffs&amp;Usage'!$F14</f>
        <v>0.65625</v>
      </c>
      <c r="K111" s="292">
        <f>'Tariffs&amp;Usage'!$F14</f>
        <v>0.65625</v>
      </c>
      <c r="L111" s="292">
        <f>'Tariffs&amp;Usage'!$F14</f>
        <v>0.65625</v>
      </c>
      <c r="M111" s="21"/>
    </row>
    <row r="112" spans="1:13" s="30" customFormat="1" ht="12.75">
      <c r="A112" s="81" t="str">
        <f>'Tariffs&amp;Usage'!A15</f>
        <v>Local-off-peak</v>
      </c>
      <c r="B112" s="292">
        <f>'Tariffs&amp;Usage'!$F15</f>
        <v>0.09375</v>
      </c>
      <c r="C112" s="292">
        <f>'Tariffs&amp;Usage'!$F15</f>
        <v>0.09375</v>
      </c>
      <c r="D112" s="292">
        <f>'Tariffs&amp;Usage'!$F15</f>
        <v>0.09375</v>
      </c>
      <c r="E112" s="292">
        <f>'Tariffs&amp;Usage'!$F15</f>
        <v>0.09375</v>
      </c>
      <c r="F112" s="292">
        <f>'Tariffs&amp;Usage'!$F15</f>
        <v>0.09375</v>
      </c>
      <c r="G112" s="292">
        <f>'Tariffs&amp;Usage'!$F15</f>
        <v>0.09375</v>
      </c>
      <c r="H112" s="292">
        <f>'Tariffs&amp;Usage'!$F15</f>
        <v>0.09375</v>
      </c>
      <c r="I112" s="292">
        <f>'Tariffs&amp;Usage'!$F15</f>
        <v>0.09375</v>
      </c>
      <c r="J112" s="292">
        <f>'Tariffs&amp;Usage'!$F15</f>
        <v>0.09375</v>
      </c>
      <c r="K112" s="292">
        <f>'Tariffs&amp;Usage'!$F15</f>
        <v>0.09375</v>
      </c>
      <c r="L112" s="292">
        <f>'Tariffs&amp;Usage'!$F15</f>
        <v>0.09375</v>
      </c>
      <c r="M112" s="21"/>
    </row>
    <row r="113" spans="1:13" s="30" customFormat="1" ht="12.75">
      <c r="A113" s="81" t="str">
        <f>'Tariffs&amp;Usage'!A16</f>
        <v>Metro</v>
      </c>
      <c r="B113" s="292">
        <f>'Tariffs&amp;Usage'!$F16</f>
        <v>0.15</v>
      </c>
      <c r="C113" s="292">
        <f>'Tariffs&amp;Usage'!$F16</f>
        <v>0.15</v>
      </c>
      <c r="D113" s="292">
        <f>'Tariffs&amp;Usage'!$F16</f>
        <v>0.15</v>
      </c>
      <c r="E113" s="292">
        <f>'Tariffs&amp;Usage'!$F16</f>
        <v>0.15</v>
      </c>
      <c r="F113" s="292">
        <f>'Tariffs&amp;Usage'!$F16</f>
        <v>0.15</v>
      </c>
      <c r="G113" s="292">
        <f>'Tariffs&amp;Usage'!$F16</f>
        <v>0.15</v>
      </c>
      <c r="H113" s="292">
        <f>'Tariffs&amp;Usage'!$F16</f>
        <v>0.15</v>
      </c>
      <c r="I113" s="292">
        <f>'Tariffs&amp;Usage'!$F16</f>
        <v>0.15</v>
      </c>
      <c r="J113" s="292">
        <f>'Tariffs&amp;Usage'!$F16</f>
        <v>0.15</v>
      </c>
      <c r="K113" s="292">
        <f>'Tariffs&amp;Usage'!$F16</f>
        <v>0.15</v>
      </c>
      <c r="L113" s="292">
        <f>'Tariffs&amp;Usage'!$F16</f>
        <v>0.15</v>
      </c>
      <c r="M113" s="21"/>
    </row>
    <row r="114" spans="1:13" s="30" customFormat="1" ht="12.75">
      <c r="A114" s="81" t="str">
        <f>'Tariffs&amp;Usage'!A17</f>
        <v>Trunk</v>
      </c>
      <c r="B114" s="293">
        <f>'Tariffs&amp;Usage'!$F17</f>
        <v>0.1</v>
      </c>
      <c r="C114" s="293">
        <f>'Tariffs&amp;Usage'!$F17</f>
        <v>0.1</v>
      </c>
      <c r="D114" s="293">
        <f>'Tariffs&amp;Usage'!$F17</f>
        <v>0.1</v>
      </c>
      <c r="E114" s="293">
        <f>'Tariffs&amp;Usage'!$F17</f>
        <v>0.1</v>
      </c>
      <c r="F114" s="293">
        <f>'Tariffs&amp;Usage'!$F17</f>
        <v>0.1</v>
      </c>
      <c r="G114" s="293">
        <f>'Tariffs&amp;Usage'!$F17</f>
        <v>0.1</v>
      </c>
      <c r="H114" s="293">
        <f>'Tariffs&amp;Usage'!$F17</f>
        <v>0.1</v>
      </c>
      <c r="I114" s="293">
        <f>'Tariffs&amp;Usage'!$F17</f>
        <v>0.1</v>
      </c>
      <c r="J114" s="293">
        <f>'Tariffs&amp;Usage'!$F17</f>
        <v>0.1</v>
      </c>
      <c r="K114" s="293">
        <f>'Tariffs&amp;Usage'!$F17</f>
        <v>0.1</v>
      </c>
      <c r="L114" s="293">
        <f>'Tariffs&amp;Usage'!$F17</f>
        <v>0.1</v>
      </c>
      <c r="M114" s="21"/>
    </row>
    <row r="115" spans="1:13" s="30" customFormat="1" ht="12.75">
      <c r="A115" s="83" t="s">
        <v>231</v>
      </c>
      <c r="B115" s="269">
        <f>SUM(B111:B114)</f>
        <v>1</v>
      </c>
      <c r="C115" s="269">
        <f aca="true" t="shared" si="44" ref="C115:L115">SUM(C111:C114)</f>
        <v>1</v>
      </c>
      <c r="D115" s="269">
        <f t="shared" si="44"/>
        <v>1</v>
      </c>
      <c r="E115" s="269">
        <f t="shared" si="44"/>
        <v>1</v>
      </c>
      <c r="F115" s="269">
        <f t="shared" si="44"/>
        <v>1</v>
      </c>
      <c r="G115" s="269">
        <f t="shared" si="44"/>
        <v>1</v>
      </c>
      <c r="H115" s="269">
        <f t="shared" si="44"/>
        <v>1</v>
      </c>
      <c r="I115" s="269">
        <f t="shared" si="44"/>
        <v>1</v>
      </c>
      <c r="J115" s="269">
        <f t="shared" si="44"/>
        <v>1</v>
      </c>
      <c r="K115" s="269">
        <f t="shared" si="44"/>
        <v>1</v>
      </c>
      <c r="L115" s="269">
        <f t="shared" si="44"/>
        <v>1</v>
      </c>
      <c r="M115" s="21"/>
    </row>
    <row r="116" spans="1:13" s="30" customFormat="1" ht="12.75">
      <c r="A116" s="81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21"/>
    </row>
    <row r="117" spans="1:13" s="30" customFormat="1" ht="12.75">
      <c r="A117" s="180" t="s">
        <v>44</v>
      </c>
      <c r="B117" s="288">
        <f>B105+(B106*B111+B107*B112+B108*B113+B109*B114)*B102</f>
        <v>38.560434001054865</v>
      </c>
      <c r="C117" s="288">
        <f aca="true" t="shared" si="45" ref="C117:L117">C105+(C106*C111+C107*C112+C108*C113+C109*C114)*C102</f>
        <v>37.13241230100212</v>
      </c>
      <c r="D117" s="288">
        <f t="shared" si="45"/>
        <v>35.775791685952015</v>
      </c>
      <c r="E117" s="288">
        <f t="shared" si="45"/>
        <v>34.48700210165441</v>
      </c>
      <c r="F117" s="288">
        <f t="shared" si="45"/>
        <v>33.26265199657169</v>
      </c>
      <c r="G117" s="288">
        <f t="shared" si="45"/>
        <v>32.099519396743105</v>
      </c>
      <c r="H117" s="288">
        <f t="shared" si="45"/>
        <v>30.994543426905953</v>
      </c>
      <c r="I117" s="288">
        <f t="shared" si="45"/>
        <v>29.944816255560653</v>
      </c>
      <c r="J117" s="288">
        <f t="shared" si="45"/>
        <v>28.94757544278262</v>
      </c>
      <c r="K117" s="288">
        <f t="shared" si="45"/>
        <v>28.00019667064349</v>
      </c>
      <c r="L117" s="288">
        <f t="shared" si="45"/>
        <v>27.100186837111316</v>
      </c>
      <c r="M117" s="21"/>
    </row>
    <row r="118" spans="1:13" s="30" customFormat="1" ht="12.75">
      <c r="A118" s="273" t="s">
        <v>410</v>
      </c>
      <c r="B118" s="294">
        <f>'Tariffs&amp;Usage'!$G$19</f>
        <v>38.560434001054865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21"/>
    </row>
    <row r="119" spans="1:12" s="30" customFormat="1" ht="12.75">
      <c r="A119" s="12"/>
      <c r="B119" s="12"/>
      <c r="C119" s="12"/>
      <c r="D119" s="12"/>
      <c r="E119" s="12"/>
      <c r="F119" s="147"/>
      <c r="G119" s="147"/>
      <c r="H119" s="12"/>
      <c r="I119" s="12"/>
      <c r="J119" s="12"/>
      <c r="K119" s="12"/>
      <c r="L119" s="12"/>
    </row>
    <row r="120" spans="1:12" s="30" customFormat="1" ht="12.75">
      <c r="A120" s="12"/>
      <c r="B120" s="12"/>
      <c r="C120" s="12"/>
      <c r="D120" s="12"/>
      <c r="E120" s="12"/>
      <c r="F120" s="147"/>
      <c r="G120" s="147"/>
      <c r="H120" s="12"/>
      <c r="I120" s="12"/>
      <c r="J120" s="12"/>
      <c r="K120" s="12"/>
      <c r="L120" s="12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32" sqref="B32"/>
    </sheetView>
  </sheetViews>
  <sheetFormatPr defaultColWidth="9.00390625" defaultRowHeight="12.75"/>
  <cols>
    <col min="1" max="1" width="19.125" style="0" customWidth="1"/>
    <col min="2" max="2" width="14.875" style="0" customWidth="1"/>
    <col min="3" max="3" width="13.75390625" style="0" customWidth="1"/>
    <col min="4" max="4" width="10.50390625" style="0" customWidth="1"/>
  </cols>
  <sheetData>
    <row r="1" spans="1:5" ht="12.75">
      <c r="A1" s="12"/>
      <c r="B1" s="12"/>
      <c r="C1" s="257" t="s">
        <v>205</v>
      </c>
      <c r="D1" s="12"/>
      <c r="E1" s="12"/>
    </row>
    <row r="2" spans="1:5" ht="12.75">
      <c r="A2" s="14" t="s">
        <v>414</v>
      </c>
      <c r="B2" s="13"/>
      <c r="C2" s="13"/>
      <c r="D2" s="12"/>
      <c r="E2" s="12"/>
    </row>
    <row r="3" spans="1:5" ht="12.75">
      <c r="A3" s="12"/>
      <c r="B3" s="12"/>
      <c r="C3" s="12"/>
      <c r="D3" s="12"/>
      <c r="E3" s="12"/>
    </row>
    <row r="4" spans="1:5" ht="24">
      <c r="A4" s="41" t="s">
        <v>206</v>
      </c>
      <c r="B4" s="69" t="s">
        <v>207</v>
      </c>
      <c r="C4" s="69" t="s">
        <v>208</v>
      </c>
      <c r="D4" s="301" t="s">
        <v>419</v>
      </c>
      <c r="E4" s="12"/>
    </row>
    <row r="5" spans="1:5" ht="12.75">
      <c r="A5" s="12" t="s">
        <v>209</v>
      </c>
      <c r="B5" s="42">
        <v>2600000</v>
      </c>
      <c r="C5" s="42"/>
      <c r="D5" s="12"/>
      <c r="E5" s="12"/>
    </row>
    <row r="6" spans="1:5" ht="12.75">
      <c r="A6" s="12" t="s">
        <v>210</v>
      </c>
      <c r="B6" s="42">
        <v>7000000</v>
      </c>
      <c r="C6" s="42">
        <v>150000</v>
      </c>
      <c r="D6" s="42">
        <v>7000000</v>
      </c>
      <c r="E6" s="12"/>
    </row>
    <row r="7" spans="1:5" ht="12.75">
      <c r="A7" s="12" t="s">
        <v>211</v>
      </c>
      <c r="B7" s="42">
        <v>1000000</v>
      </c>
      <c r="C7" s="42">
        <v>100000</v>
      </c>
      <c r="D7" s="12"/>
      <c r="E7" s="12"/>
    </row>
    <row r="8" spans="1:5" ht="12.75">
      <c r="A8" s="12" t="s">
        <v>212</v>
      </c>
      <c r="B8" s="42">
        <v>70000</v>
      </c>
      <c r="C8" s="42"/>
      <c r="D8" s="12"/>
      <c r="E8" s="12"/>
    </row>
    <row r="9" spans="1:5" ht="12.75">
      <c r="A9" s="12" t="s">
        <v>213</v>
      </c>
      <c r="B9" s="42">
        <v>70000</v>
      </c>
      <c r="C9" s="42"/>
      <c r="D9" s="12"/>
      <c r="E9" s="12"/>
    </row>
    <row r="10" spans="1:5" ht="12.75">
      <c r="A10" s="12" t="s">
        <v>214</v>
      </c>
      <c r="B10" s="42">
        <v>70000</v>
      </c>
      <c r="C10" s="42"/>
      <c r="D10" s="12"/>
      <c r="E10" s="12"/>
    </row>
    <row r="11" spans="1:5" ht="12.75">
      <c r="A11" s="12" t="s">
        <v>215</v>
      </c>
      <c r="B11" s="43">
        <v>1000000</v>
      </c>
      <c r="C11" s="42"/>
      <c r="D11" s="12"/>
      <c r="E11" s="12"/>
    </row>
    <row r="12" spans="1:5" ht="12.75">
      <c r="A12" s="44" t="s">
        <v>216</v>
      </c>
      <c r="B12" s="45">
        <f>SUM(B5:B11)</f>
        <v>11810000</v>
      </c>
      <c r="C12" s="45"/>
      <c r="D12" s="12"/>
      <c r="E12" s="12"/>
    </row>
    <row r="13" spans="1:5" ht="12.75">
      <c r="A13" s="12"/>
      <c r="B13" s="45"/>
      <c r="C13" s="45"/>
      <c r="D13" s="12"/>
      <c r="E13" s="12"/>
    </row>
    <row r="14" spans="1:5" ht="12.75">
      <c r="A14" s="41" t="s">
        <v>217</v>
      </c>
      <c r="B14" s="45"/>
      <c r="C14" s="46"/>
      <c r="D14" s="12"/>
      <c r="E14" s="12"/>
    </row>
    <row r="15" spans="1:5" ht="12.75">
      <c r="A15" s="12" t="s">
        <v>209</v>
      </c>
      <c r="B15" s="42">
        <v>2000000</v>
      </c>
      <c r="C15" s="47"/>
      <c r="D15" s="12"/>
      <c r="E15" s="12"/>
    </row>
    <row r="16" spans="1:5" ht="12.75">
      <c r="A16" s="12" t="s">
        <v>212</v>
      </c>
      <c r="B16" s="42">
        <v>65000</v>
      </c>
      <c r="C16" s="47"/>
      <c r="D16" s="12"/>
      <c r="E16" s="12"/>
    </row>
    <row r="17" spans="1:5" ht="12.75">
      <c r="A17" s="12" t="s">
        <v>213</v>
      </c>
      <c r="B17" s="42">
        <v>65000</v>
      </c>
      <c r="C17" s="47"/>
      <c r="D17" s="12"/>
      <c r="E17" s="12"/>
    </row>
    <row r="18" spans="1:5" ht="12.75">
      <c r="A18" s="12" t="s">
        <v>214</v>
      </c>
      <c r="B18" s="42">
        <v>65000</v>
      </c>
      <c r="C18" s="45"/>
      <c r="D18" s="12"/>
      <c r="E18" s="12"/>
    </row>
    <row r="19" spans="1:5" ht="12.75">
      <c r="A19" s="12" t="s">
        <v>215</v>
      </c>
      <c r="B19" s="43">
        <v>200000</v>
      </c>
      <c r="C19" s="45"/>
      <c r="D19" s="12"/>
      <c r="E19" s="12"/>
    </row>
    <row r="20" spans="1:5" ht="12.75">
      <c r="A20" s="44" t="s">
        <v>216</v>
      </c>
      <c r="B20" s="45">
        <f>SUM(B15:B19)</f>
        <v>2395000</v>
      </c>
      <c r="C20" s="45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06" t="s">
        <v>411</v>
      </c>
      <c r="B22" s="12"/>
      <c r="C22" s="12"/>
      <c r="D22" s="12"/>
      <c r="E22" s="12"/>
    </row>
    <row r="23" spans="1:5" ht="12.75">
      <c r="A23" s="12" t="s">
        <v>412</v>
      </c>
      <c r="B23" s="42">
        <v>2250000</v>
      </c>
      <c r="C23" s="12"/>
      <c r="D23" s="12"/>
      <c r="E23" s="12"/>
    </row>
    <row r="24" spans="1:5" ht="12.75">
      <c r="A24" s="12" t="s">
        <v>413</v>
      </c>
      <c r="B24" s="42">
        <v>50000</v>
      </c>
      <c r="C24" s="12"/>
      <c r="D24" s="12"/>
      <c r="E24" s="12"/>
    </row>
    <row r="25" spans="1:5" ht="12.75">
      <c r="A25" s="12" t="s">
        <v>215</v>
      </c>
      <c r="B25" s="43">
        <v>100000</v>
      </c>
      <c r="C25" s="12"/>
      <c r="D25" s="12"/>
      <c r="E25" s="12"/>
    </row>
    <row r="26" spans="1:5" ht="12.75">
      <c r="A26" s="44" t="s">
        <v>216</v>
      </c>
      <c r="B26" s="45">
        <f>SUM(B23:B25)</f>
        <v>2400000</v>
      </c>
      <c r="C26" s="12"/>
      <c r="D26" s="12"/>
      <c r="E26" s="12"/>
    </row>
    <row r="27" spans="1:5" ht="12.75">
      <c r="A27" s="12"/>
      <c r="B27" s="45"/>
      <c r="C27" s="12"/>
      <c r="D27" s="12"/>
      <c r="E27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N49"/>
  <sheetViews>
    <sheetView workbookViewId="0" topLeftCell="A33">
      <selection activeCell="B39" sqref="B39"/>
    </sheetView>
  </sheetViews>
  <sheetFormatPr defaultColWidth="9.00390625" defaultRowHeight="12.75"/>
  <cols>
    <col min="1" max="1" width="22.25390625" style="0" customWidth="1"/>
    <col min="2" max="12" width="8.125" style="0" customWidth="1"/>
  </cols>
  <sheetData>
    <row r="2" spans="1:5" ht="12.75">
      <c r="A2" s="65" t="s">
        <v>415</v>
      </c>
      <c r="B2" s="12"/>
      <c r="C2" s="295" t="s">
        <v>429</v>
      </c>
      <c r="D2" s="12"/>
      <c r="E2" s="12"/>
    </row>
    <row r="3" spans="1:12" ht="12.75">
      <c r="A3" s="275" t="s">
        <v>406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2.75">
      <c r="A4" s="76" t="s">
        <v>35</v>
      </c>
      <c r="B4" s="77">
        <v>0</v>
      </c>
      <c r="C4" s="77">
        <v>1</v>
      </c>
      <c r="D4" s="77">
        <v>2</v>
      </c>
      <c r="E4" s="77">
        <v>3</v>
      </c>
      <c r="F4" s="77">
        <v>4</v>
      </c>
      <c r="G4" s="77">
        <v>5</v>
      </c>
      <c r="H4" s="77">
        <v>6</v>
      </c>
      <c r="I4" s="77">
        <v>7</v>
      </c>
      <c r="J4" s="77">
        <v>8</v>
      </c>
      <c r="K4" s="77">
        <v>9</v>
      </c>
      <c r="L4" s="77">
        <v>10</v>
      </c>
    </row>
    <row r="5" spans="1:12" ht="12.75">
      <c r="A5" s="78"/>
      <c r="B5" s="77">
        <f>C5-1</f>
        <v>1998</v>
      </c>
      <c r="C5" s="77">
        <f>Assumptions!$B$7</f>
        <v>1999</v>
      </c>
      <c r="D5" s="77">
        <f aca="true" t="shared" si="0" ref="D5:L5">C5+1</f>
        <v>2000</v>
      </c>
      <c r="E5" s="77">
        <f t="shared" si="0"/>
        <v>2001</v>
      </c>
      <c r="F5" s="77">
        <f t="shared" si="0"/>
        <v>2002</v>
      </c>
      <c r="G5" s="77">
        <f t="shared" si="0"/>
        <v>2003</v>
      </c>
      <c r="H5" s="77">
        <f t="shared" si="0"/>
        <v>2004</v>
      </c>
      <c r="I5" s="77">
        <f t="shared" si="0"/>
        <v>2005</v>
      </c>
      <c r="J5" s="77">
        <f t="shared" si="0"/>
        <v>2006</v>
      </c>
      <c r="K5" s="77">
        <f t="shared" si="0"/>
        <v>2007</v>
      </c>
      <c r="L5" s="77">
        <f t="shared" si="0"/>
        <v>2008</v>
      </c>
    </row>
    <row r="6" spans="1:12" ht="12.75">
      <c r="A6" s="87" t="s">
        <v>402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2.75">
      <c r="A7" s="155" t="str">
        <f>Demand!A78</f>
        <v>Captial Region</v>
      </c>
      <c r="B7" s="75">
        <f>Demand!B78</f>
        <v>77</v>
      </c>
      <c r="C7" s="75">
        <f>Demand!C78</f>
        <v>85</v>
      </c>
      <c r="D7" s="75">
        <f>Demand!D78</f>
        <v>93</v>
      </c>
      <c r="E7" s="75">
        <f>Demand!E78</f>
        <v>95</v>
      </c>
      <c r="F7" s="75">
        <f>Demand!F78</f>
        <v>97</v>
      </c>
      <c r="G7" s="75">
        <f>Demand!G78</f>
        <v>100</v>
      </c>
      <c r="H7" s="75">
        <f>Demand!H78</f>
        <v>104</v>
      </c>
      <c r="I7" s="75">
        <f>Demand!I78</f>
        <v>107</v>
      </c>
      <c r="J7" s="75">
        <f>Demand!J78</f>
        <v>118</v>
      </c>
      <c r="K7" s="75">
        <f>Demand!K78</f>
        <v>130</v>
      </c>
      <c r="L7" s="75">
        <f>Demand!L78</f>
        <v>144</v>
      </c>
    </row>
    <row r="8" spans="1:12" ht="12.75">
      <c r="A8" s="155" t="str">
        <f>Demand!A79</f>
        <v>Urban Regions</v>
      </c>
      <c r="B8" s="75">
        <f>Demand!B79</f>
        <v>102</v>
      </c>
      <c r="C8" s="75">
        <f>Demand!C79</f>
        <v>114</v>
      </c>
      <c r="D8" s="75">
        <f>Demand!D79</f>
        <v>127</v>
      </c>
      <c r="E8" s="75">
        <f>Demand!E79</f>
        <v>130</v>
      </c>
      <c r="F8" s="75">
        <f>Demand!F79</f>
        <v>133</v>
      </c>
      <c r="G8" s="75">
        <f>Demand!G79</f>
        <v>140</v>
      </c>
      <c r="H8" s="75">
        <f>Demand!H79</f>
        <v>146</v>
      </c>
      <c r="I8" s="75">
        <f>Demand!I79</f>
        <v>152</v>
      </c>
      <c r="J8" s="75">
        <f>Demand!J79</f>
        <v>169</v>
      </c>
      <c r="K8" s="75">
        <f>Demand!K79</f>
        <v>188</v>
      </c>
      <c r="L8" s="75">
        <f>Demand!L79</f>
        <v>210</v>
      </c>
    </row>
    <row r="9" spans="1:12" ht="12.75">
      <c r="A9" s="155" t="str">
        <f>Demand!A80</f>
        <v>Rural Regions</v>
      </c>
      <c r="B9" s="75">
        <f>Demand!B80</f>
        <v>56</v>
      </c>
      <c r="C9" s="75">
        <f>Demand!C80</f>
        <v>57</v>
      </c>
      <c r="D9" s="75">
        <f>Demand!D80</f>
        <v>58</v>
      </c>
      <c r="E9" s="75">
        <f>Demand!E80</f>
        <v>59</v>
      </c>
      <c r="F9" s="75">
        <f>Demand!F80</f>
        <v>60</v>
      </c>
      <c r="G9" s="75">
        <f>Demand!G80</f>
        <v>57</v>
      </c>
      <c r="H9" s="75">
        <f>Demand!H80</f>
        <v>53</v>
      </c>
      <c r="I9" s="75">
        <f>Demand!I80</f>
        <v>51</v>
      </c>
      <c r="J9" s="75">
        <f>Demand!J80</f>
        <v>52</v>
      </c>
      <c r="K9" s="75">
        <f>Demand!K80</f>
        <v>53</v>
      </c>
      <c r="L9" s="75">
        <f>Demand!L80</f>
        <v>54</v>
      </c>
    </row>
    <row r="10" spans="1:12" ht="12.75">
      <c r="A10" s="8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2.75">
      <c r="A11" s="155" t="s">
        <v>403</v>
      </c>
      <c r="B11" s="75">
        <f>Demand!B82</f>
        <v>235</v>
      </c>
      <c r="C11" s="75">
        <f>Demand!C82</f>
        <v>256</v>
      </c>
      <c r="D11" s="75">
        <f>Demand!D82</f>
        <v>278</v>
      </c>
      <c r="E11" s="75">
        <f>Demand!E82</f>
        <v>284</v>
      </c>
      <c r="F11" s="75">
        <f>Demand!F82</f>
        <v>290</v>
      </c>
      <c r="G11" s="75">
        <f>Demand!G82</f>
        <v>297</v>
      </c>
      <c r="H11" s="75">
        <f>Demand!H82</f>
        <v>303</v>
      </c>
      <c r="I11" s="75">
        <f>Demand!I82</f>
        <v>310</v>
      </c>
      <c r="J11" s="75">
        <f>Demand!J82</f>
        <v>339</v>
      </c>
      <c r="K11" s="75">
        <f>Demand!K82</f>
        <v>371</v>
      </c>
      <c r="L11" s="75">
        <f>Demand!L82</f>
        <v>408</v>
      </c>
    </row>
    <row r="12" spans="1:12" ht="12.75">
      <c r="A12" s="8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2.75">
      <c r="A13" s="87" t="s">
        <v>404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2.75">
      <c r="A14" s="155" t="str">
        <f>A7</f>
        <v>Captial Region</v>
      </c>
      <c r="B14" s="75">
        <f>Demand!B85</f>
        <v>1</v>
      </c>
      <c r="C14" s="75">
        <f>Demand!C85</f>
        <v>2</v>
      </c>
      <c r="D14" s="75">
        <f>Demand!D85</f>
        <v>2</v>
      </c>
      <c r="E14" s="75">
        <f>Demand!E85</f>
        <v>2</v>
      </c>
      <c r="F14" s="75">
        <f>Demand!F85</f>
        <v>2</v>
      </c>
      <c r="G14" s="75">
        <f>Demand!G85</f>
        <v>2</v>
      </c>
      <c r="H14" s="75">
        <f>Demand!H85</f>
        <v>2</v>
      </c>
      <c r="I14" s="75">
        <f>Demand!I85</f>
        <v>2</v>
      </c>
      <c r="J14" s="75">
        <f>Demand!J85</f>
        <v>2</v>
      </c>
      <c r="K14" s="75">
        <f>Demand!K85</f>
        <v>2</v>
      </c>
      <c r="L14" s="75">
        <f>Demand!L85</f>
        <v>3</v>
      </c>
    </row>
    <row r="15" spans="1:12" ht="12.75">
      <c r="A15" s="155" t="str">
        <f>A8</f>
        <v>Urban Regions</v>
      </c>
      <c r="B15" s="75">
        <f>Demand!B86</f>
        <v>4</v>
      </c>
      <c r="C15" s="75">
        <f>Demand!C86</f>
        <v>4</v>
      </c>
      <c r="D15" s="75">
        <f>Demand!D86</f>
        <v>4</v>
      </c>
      <c r="E15" s="75">
        <f>Demand!E86</f>
        <v>4</v>
      </c>
      <c r="F15" s="75">
        <f>Demand!F86</f>
        <v>4</v>
      </c>
      <c r="G15" s="75">
        <f>Demand!G86</f>
        <v>4</v>
      </c>
      <c r="H15" s="75">
        <f>Demand!H86</f>
        <v>4</v>
      </c>
      <c r="I15" s="75">
        <f>Demand!I86</f>
        <v>4</v>
      </c>
      <c r="J15" s="75">
        <f>Demand!J86</f>
        <v>4</v>
      </c>
      <c r="K15" s="75">
        <f>Demand!K86</f>
        <v>4</v>
      </c>
      <c r="L15" s="75">
        <f>Demand!L86</f>
        <v>4</v>
      </c>
    </row>
    <row r="16" spans="1:12" ht="12.75">
      <c r="A16" s="155" t="str">
        <f>A9</f>
        <v>Rural Regions</v>
      </c>
      <c r="B16" s="75">
        <f>Demand!B87</f>
        <v>1</v>
      </c>
      <c r="C16" s="75">
        <f>Demand!C87</f>
        <v>1</v>
      </c>
      <c r="D16" s="75">
        <f>Demand!D87</f>
        <v>1</v>
      </c>
      <c r="E16" s="75">
        <f>Demand!E87</f>
        <v>1</v>
      </c>
      <c r="F16" s="75">
        <f>Demand!F87</f>
        <v>1</v>
      </c>
      <c r="G16" s="75">
        <f>Demand!G87</f>
        <v>1</v>
      </c>
      <c r="H16" s="75">
        <f>Demand!H87</f>
        <v>1</v>
      </c>
      <c r="I16" s="75">
        <f>Demand!I87</f>
        <v>1</v>
      </c>
      <c r="J16" s="75">
        <f>Demand!J87</f>
        <v>1</v>
      </c>
      <c r="K16" s="75">
        <f>Demand!K87</f>
        <v>1</v>
      </c>
      <c r="L16" s="75">
        <f>Demand!L87</f>
        <v>1</v>
      </c>
    </row>
    <row r="17" spans="1:12" ht="12.75">
      <c r="A17" s="83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2.75">
      <c r="A18" s="155" t="s">
        <v>405</v>
      </c>
      <c r="B18" s="75">
        <f>Demand!B89</f>
        <v>6</v>
      </c>
      <c r="C18" s="75">
        <f>Demand!C89</f>
        <v>7</v>
      </c>
      <c r="D18" s="75">
        <f>Demand!D89</f>
        <v>7</v>
      </c>
      <c r="E18" s="75">
        <f>Demand!E89</f>
        <v>7</v>
      </c>
      <c r="F18" s="75">
        <f>Demand!F89</f>
        <v>7</v>
      </c>
      <c r="G18" s="75">
        <f>Demand!G89</f>
        <v>7</v>
      </c>
      <c r="H18" s="75">
        <f>Demand!H89</f>
        <v>7</v>
      </c>
      <c r="I18" s="75">
        <f>Demand!I89</f>
        <v>7</v>
      </c>
      <c r="J18" s="75">
        <f>Demand!J89</f>
        <v>7</v>
      </c>
      <c r="K18" s="75">
        <f>Demand!K89</f>
        <v>7</v>
      </c>
      <c r="L18" s="75">
        <f>Demand!L89</f>
        <v>8</v>
      </c>
    </row>
    <row r="20" spans="1:12" ht="12.75">
      <c r="A20" s="30" t="s">
        <v>420</v>
      </c>
      <c r="B20" s="75"/>
      <c r="C20" s="75">
        <f>C11-B11</f>
        <v>21</v>
      </c>
      <c r="D20" s="75">
        <f aca="true" t="shared" si="1" ref="D20:L20">D11-C11</f>
        <v>22</v>
      </c>
      <c r="E20" s="75">
        <f t="shared" si="1"/>
        <v>6</v>
      </c>
      <c r="F20" s="75">
        <f t="shared" si="1"/>
        <v>6</v>
      </c>
      <c r="G20" s="75">
        <f t="shared" si="1"/>
        <v>7</v>
      </c>
      <c r="H20" s="75">
        <f t="shared" si="1"/>
        <v>6</v>
      </c>
      <c r="I20" s="75">
        <f t="shared" si="1"/>
        <v>7</v>
      </c>
      <c r="J20" s="75">
        <f t="shared" si="1"/>
        <v>29</v>
      </c>
      <c r="K20" s="75">
        <f t="shared" si="1"/>
        <v>32</v>
      </c>
      <c r="L20" s="75">
        <f t="shared" si="1"/>
        <v>37</v>
      </c>
    </row>
    <row r="21" spans="1:12" ht="12.75">
      <c r="A21" s="30" t="s">
        <v>421</v>
      </c>
      <c r="B21" s="75"/>
      <c r="C21" s="75">
        <f>C18-B18</f>
        <v>1</v>
      </c>
      <c r="D21" s="75">
        <f aca="true" t="shared" si="2" ref="D21:L21">D18-C18</f>
        <v>0</v>
      </c>
      <c r="E21" s="75">
        <f t="shared" si="2"/>
        <v>0</v>
      </c>
      <c r="F21" s="75">
        <f t="shared" si="2"/>
        <v>0</v>
      </c>
      <c r="G21" s="75">
        <f t="shared" si="2"/>
        <v>0</v>
      </c>
      <c r="H21" s="75">
        <f t="shared" si="2"/>
        <v>0</v>
      </c>
      <c r="I21" s="75">
        <f t="shared" si="2"/>
        <v>0</v>
      </c>
      <c r="J21" s="75">
        <f t="shared" si="2"/>
        <v>0</v>
      </c>
      <c r="K21" s="75">
        <f t="shared" si="2"/>
        <v>0</v>
      </c>
      <c r="L21" s="75">
        <f t="shared" si="2"/>
        <v>1</v>
      </c>
    </row>
    <row r="23" spans="1:14" s="30" customFormat="1" ht="12.75">
      <c r="A23" s="23" t="s">
        <v>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2"/>
    </row>
    <row r="24" spans="1:14" s="30" customFormat="1" ht="12.75">
      <c r="A24" s="27" t="s">
        <v>417</v>
      </c>
      <c r="B24" s="299">
        <v>50</v>
      </c>
      <c r="C24" s="20"/>
      <c r="D24" s="20"/>
      <c r="E24" s="256" t="s">
        <v>205</v>
      </c>
      <c r="F24" s="20"/>
      <c r="G24" s="20"/>
      <c r="H24" s="20"/>
      <c r="I24" s="20"/>
      <c r="J24" s="20"/>
      <c r="K24" s="20"/>
      <c r="L24" s="20"/>
      <c r="M24" s="21"/>
      <c r="N24" s="22"/>
    </row>
    <row r="25" spans="1:14" s="30" customFormat="1" ht="12.75">
      <c r="A25" s="27" t="s">
        <v>46</v>
      </c>
      <c r="B25" s="300">
        <f>CapEqtCosts!$B$20/1000000</f>
        <v>2.395</v>
      </c>
      <c r="C25" s="24" t="s">
        <v>47</v>
      </c>
      <c r="D25" s="20"/>
      <c r="E25" s="297" t="s">
        <v>418</v>
      </c>
      <c r="F25" s="296"/>
      <c r="G25" s="296"/>
      <c r="H25" s="296"/>
      <c r="I25" s="298"/>
      <c r="J25" s="298"/>
      <c r="K25" s="20"/>
      <c r="L25" s="20"/>
      <c r="M25" s="21"/>
      <c r="N25" s="49"/>
    </row>
    <row r="26" spans="1:14" s="30" customFormat="1" ht="12.75">
      <c r="A26" s="27" t="s">
        <v>48</v>
      </c>
      <c r="B26" s="300">
        <f>CapEqtCosts!$D$6/1000000</f>
        <v>7</v>
      </c>
      <c r="D26" s="20"/>
      <c r="E26" s="302" t="s">
        <v>422</v>
      </c>
      <c r="F26" s="296"/>
      <c r="G26" s="296"/>
      <c r="H26" s="296"/>
      <c r="I26" s="298"/>
      <c r="J26" s="298"/>
      <c r="K26" s="20"/>
      <c r="L26" s="20"/>
      <c r="M26" s="21"/>
      <c r="N26" s="49"/>
    </row>
    <row r="27" spans="1:14" s="30" customFormat="1" ht="12.75">
      <c r="A27" s="27" t="s">
        <v>423</v>
      </c>
      <c r="B27" s="300">
        <f>CapEqtCosts!B26/1000000</f>
        <v>2.4</v>
      </c>
      <c r="C27" s="18" t="s">
        <v>424</v>
      </c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49"/>
    </row>
    <row r="28" spans="1:14" s="30" customFormat="1" ht="12.75">
      <c r="A28" s="19"/>
      <c r="B28" s="300"/>
      <c r="C28" s="24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2"/>
    </row>
    <row r="29" spans="1:14" s="30" customFormat="1" ht="12.75">
      <c r="A29" s="17" t="s">
        <v>49</v>
      </c>
      <c r="B29" s="48"/>
      <c r="C29" s="24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2"/>
    </row>
    <row r="30" spans="1:14" s="30" customFormat="1" ht="12.75">
      <c r="A30" s="27" t="s">
        <v>50</v>
      </c>
      <c r="B30" s="29">
        <v>0.1</v>
      </c>
      <c r="C30" s="27" t="s">
        <v>51</v>
      </c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49"/>
    </row>
    <row r="31" spans="1:14" s="30" customFormat="1" ht="12.75">
      <c r="A31" s="27" t="s">
        <v>52</v>
      </c>
      <c r="B31" s="50">
        <v>0.5</v>
      </c>
      <c r="C31" s="27" t="s">
        <v>53</v>
      </c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49"/>
    </row>
    <row r="32" spans="1:14" s="30" customFormat="1" ht="12.75">
      <c r="A32" s="19"/>
      <c r="B32" s="28"/>
      <c r="C32" s="24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2"/>
    </row>
    <row r="33" spans="1:14" s="30" customFormat="1" ht="12.75">
      <c r="A33" s="23" t="s">
        <v>425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2"/>
    </row>
    <row r="34" spans="1:14" s="30" customFormat="1" ht="12.75">
      <c r="A34" s="24" t="s">
        <v>35</v>
      </c>
      <c r="B34" s="32">
        <v>0</v>
      </c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>
        <v>10</v>
      </c>
      <c r="M34" s="21"/>
      <c r="N34" s="22"/>
    </row>
    <row r="35" spans="1:14" s="30" customFormat="1" ht="12.75">
      <c r="A35" s="34"/>
      <c r="B35" s="32">
        <f>C35-1</f>
        <v>1998</v>
      </c>
      <c r="C35" s="32">
        <f>Assumptions!B7</f>
        <v>1999</v>
      </c>
      <c r="D35" s="32">
        <f>C35+1</f>
        <v>2000</v>
      </c>
      <c r="E35" s="32">
        <f aca="true" t="shared" si="3" ref="E35:L35">D35+1</f>
        <v>2001</v>
      </c>
      <c r="F35" s="32">
        <f t="shared" si="3"/>
        <v>2002</v>
      </c>
      <c r="G35" s="32">
        <f t="shared" si="3"/>
        <v>2003</v>
      </c>
      <c r="H35" s="32">
        <f t="shared" si="3"/>
        <v>2004</v>
      </c>
      <c r="I35" s="32">
        <f t="shared" si="3"/>
        <v>2005</v>
      </c>
      <c r="J35" s="32">
        <f t="shared" si="3"/>
        <v>2006</v>
      </c>
      <c r="K35" s="32">
        <f t="shared" si="3"/>
        <v>2007</v>
      </c>
      <c r="L35" s="32">
        <f t="shared" si="3"/>
        <v>2008</v>
      </c>
      <c r="M35" s="33"/>
      <c r="N35" s="22"/>
    </row>
    <row r="36" spans="1:14" s="30" customFormat="1" ht="12.7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2"/>
    </row>
    <row r="37" spans="1:14" s="30" customFormat="1" ht="12.75">
      <c r="A37" s="303" t="s">
        <v>426</v>
      </c>
      <c r="B37" s="20">
        <v>0</v>
      </c>
      <c r="C37" s="20">
        <f>C21</f>
        <v>1</v>
      </c>
      <c r="D37" s="20">
        <f aca="true" t="shared" si="4" ref="D37:L37">D21</f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1</v>
      </c>
      <c r="M37" s="21"/>
      <c r="N37" s="22"/>
    </row>
    <row r="38" spans="1:14" s="30" customFormat="1" ht="12.75">
      <c r="A38" s="303" t="s">
        <v>427</v>
      </c>
      <c r="B38" s="20">
        <v>0</v>
      </c>
      <c r="C38" s="20">
        <f>C20</f>
        <v>21</v>
      </c>
      <c r="D38" s="20">
        <f aca="true" t="shared" si="5" ref="D38:L38">D20</f>
        <v>22</v>
      </c>
      <c r="E38" s="20">
        <f t="shared" si="5"/>
        <v>6</v>
      </c>
      <c r="F38" s="20">
        <f t="shared" si="5"/>
        <v>6</v>
      </c>
      <c r="G38" s="20">
        <f t="shared" si="5"/>
        <v>7</v>
      </c>
      <c r="H38" s="20">
        <f t="shared" si="5"/>
        <v>6</v>
      </c>
      <c r="I38" s="20">
        <f t="shared" si="5"/>
        <v>7</v>
      </c>
      <c r="J38" s="20">
        <f t="shared" si="5"/>
        <v>29</v>
      </c>
      <c r="K38" s="20">
        <f t="shared" si="5"/>
        <v>32</v>
      </c>
      <c r="L38" s="20">
        <f t="shared" si="5"/>
        <v>37</v>
      </c>
      <c r="M38" s="21"/>
      <c r="N38" s="22"/>
    </row>
    <row r="39" spans="1:14" s="30" customFormat="1" ht="12.75">
      <c r="A39" s="27" t="s">
        <v>416</v>
      </c>
      <c r="B39" s="28">
        <f>B24</f>
        <v>50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1"/>
      <c r="N39" s="22"/>
    </row>
    <row r="40" spans="1:14" s="30" customFormat="1" ht="12.75">
      <c r="A40" s="19" t="s">
        <v>54</v>
      </c>
      <c r="B40" s="28">
        <f>$B$25*B21</f>
        <v>0</v>
      </c>
      <c r="C40" s="28">
        <f aca="true" t="shared" si="6" ref="C40:L40">$B$25*C21</f>
        <v>2.395</v>
      </c>
      <c r="D40" s="28">
        <f t="shared" si="6"/>
        <v>0</v>
      </c>
      <c r="E40" s="28">
        <f t="shared" si="6"/>
        <v>0</v>
      </c>
      <c r="F40" s="28">
        <f t="shared" si="6"/>
        <v>0</v>
      </c>
      <c r="G40" s="28">
        <f t="shared" si="6"/>
        <v>0</v>
      </c>
      <c r="H40" s="28">
        <f t="shared" si="6"/>
        <v>0</v>
      </c>
      <c r="I40" s="28">
        <f t="shared" si="6"/>
        <v>0</v>
      </c>
      <c r="J40" s="28">
        <f t="shared" si="6"/>
        <v>0</v>
      </c>
      <c r="K40" s="28">
        <f t="shared" si="6"/>
        <v>0</v>
      </c>
      <c r="L40" s="28">
        <f t="shared" si="6"/>
        <v>2.395</v>
      </c>
      <c r="M40" s="21"/>
      <c r="N40" s="22"/>
    </row>
    <row r="41" spans="1:14" s="30" customFormat="1" ht="12.75">
      <c r="A41" s="27" t="s">
        <v>48</v>
      </c>
      <c r="B41" s="28"/>
      <c r="C41" s="28"/>
      <c r="D41" s="28"/>
      <c r="E41" s="28">
        <f>B26</f>
        <v>7</v>
      </c>
      <c r="F41" s="28"/>
      <c r="G41" s="28"/>
      <c r="H41" s="28"/>
      <c r="I41" s="28"/>
      <c r="J41" s="28"/>
      <c r="K41" s="28"/>
      <c r="L41" s="28"/>
      <c r="M41" s="21"/>
      <c r="N41" s="22"/>
    </row>
    <row r="42" spans="1:14" s="30" customFormat="1" ht="12.75">
      <c r="A42" s="19" t="s">
        <v>428</v>
      </c>
      <c r="B42" s="28">
        <f>$B$27*B20</f>
        <v>0</v>
      </c>
      <c r="C42" s="28">
        <f aca="true" t="shared" si="7" ref="C42:L42">$B$27*C20</f>
        <v>50.4</v>
      </c>
      <c r="D42" s="28">
        <f t="shared" si="7"/>
        <v>52.8</v>
      </c>
      <c r="E42" s="28">
        <f t="shared" si="7"/>
        <v>14.399999999999999</v>
      </c>
      <c r="F42" s="28">
        <f t="shared" si="7"/>
        <v>14.399999999999999</v>
      </c>
      <c r="G42" s="28">
        <f t="shared" si="7"/>
        <v>16.8</v>
      </c>
      <c r="H42" s="28">
        <f t="shared" si="7"/>
        <v>14.399999999999999</v>
      </c>
      <c r="I42" s="28">
        <f t="shared" si="7"/>
        <v>16.8</v>
      </c>
      <c r="J42" s="28">
        <f t="shared" si="7"/>
        <v>69.6</v>
      </c>
      <c r="K42" s="28">
        <f t="shared" si="7"/>
        <v>76.8</v>
      </c>
      <c r="L42" s="28">
        <f t="shared" si="7"/>
        <v>88.8</v>
      </c>
      <c r="M42" s="21"/>
      <c r="N42" s="22"/>
    </row>
    <row r="43" spans="1:14" s="30" customFormat="1" ht="12.75">
      <c r="A43" s="27" t="s">
        <v>50</v>
      </c>
      <c r="B43" s="28">
        <v>0</v>
      </c>
      <c r="C43" s="28">
        <f aca="true" t="shared" si="8" ref="C43:L43">$B$30*B47</f>
        <v>5</v>
      </c>
      <c r="D43" s="28">
        <f t="shared" si="8"/>
        <v>10.829500000000001</v>
      </c>
      <c r="E43" s="28">
        <f t="shared" si="8"/>
        <v>17.19245</v>
      </c>
      <c r="F43" s="28">
        <f t="shared" si="8"/>
        <v>21.051695000000002</v>
      </c>
      <c r="G43" s="28">
        <f t="shared" si="8"/>
        <v>24.596864500000002</v>
      </c>
      <c r="H43" s="28">
        <f t="shared" si="8"/>
        <v>28.736550950000005</v>
      </c>
      <c r="I43" s="28">
        <f t="shared" si="8"/>
        <v>33.050206045</v>
      </c>
      <c r="J43" s="28">
        <f t="shared" si="8"/>
        <v>38.035226649500004</v>
      </c>
      <c r="K43" s="28">
        <f t="shared" si="8"/>
        <v>48.798749314450006</v>
      </c>
      <c r="L43" s="28">
        <f t="shared" si="8"/>
        <v>61.358624245895</v>
      </c>
      <c r="M43" s="21"/>
      <c r="N43" s="22"/>
    </row>
    <row r="44" spans="1:14" s="30" customFormat="1" ht="12.75">
      <c r="A44" s="27" t="s">
        <v>52</v>
      </c>
      <c r="B44" s="28">
        <v>0</v>
      </c>
      <c r="C44" s="28">
        <f aca="true" t="shared" si="9" ref="C44:L44">C37*$B$31</f>
        <v>0.5</v>
      </c>
      <c r="D44" s="28">
        <f t="shared" si="9"/>
        <v>0</v>
      </c>
      <c r="E44" s="28">
        <f t="shared" si="9"/>
        <v>0</v>
      </c>
      <c r="F44" s="28">
        <f t="shared" si="9"/>
        <v>0</v>
      </c>
      <c r="G44" s="28">
        <f t="shared" si="9"/>
        <v>0</v>
      </c>
      <c r="H44" s="28">
        <f t="shared" si="9"/>
        <v>0</v>
      </c>
      <c r="I44" s="28">
        <f t="shared" si="9"/>
        <v>0</v>
      </c>
      <c r="J44" s="28">
        <f t="shared" si="9"/>
        <v>0</v>
      </c>
      <c r="K44" s="28">
        <f t="shared" si="9"/>
        <v>0</v>
      </c>
      <c r="L44" s="28">
        <f t="shared" si="9"/>
        <v>0.5</v>
      </c>
      <c r="M44" s="21"/>
      <c r="N44" s="22"/>
    </row>
    <row r="45" spans="1:14" s="30" customFormat="1" ht="12.75">
      <c r="A45" s="1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1"/>
      <c r="N45" s="22"/>
    </row>
    <row r="46" spans="1:14" s="30" customFormat="1" ht="12.75">
      <c r="A46" s="19" t="s">
        <v>55</v>
      </c>
      <c r="B46" s="28">
        <f aca="true" t="shared" si="10" ref="B46:L46">SUM(B39:B44)</f>
        <v>50</v>
      </c>
      <c r="C46" s="28">
        <f t="shared" si="10"/>
        <v>58.295</v>
      </c>
      <c r="D46" s="28">
        <f t="shared" si="10"/>
        <v>63.6295</v>
      </c>
      <c r="E46" s="28">
        <f t="shared" si="10"/>
        <v>38.59245</v>
      </c>
      <c r="F46" s="28">
        <f t="shared" si="10"/>
        <v>35.451695</v>
      </c>
      <c r="G46" s="28">
        <f t="shared" si="10"/>
        <v>41.39686450000001</v>
      </c>
      <c r="H46" s="28">
        <f t="shared" si="10"/>
        <v>43.13655095</v>
      </c>
      <c r="I46" s="28">
        <f t="shared" si="10"/>
        <v>49.85020604500001</v>
      </c>
      <c r="J46" s="28">
        <f t="shared" si="10"/>
        <v>107.6352266495</v>
      </c>
      <c r="K46" s="28">
        <f t="shared" si="10"/>
        <v>125.59874931445</v>
      </c>
      <c r="L46" s="28">
        <f t="shared" si="10"/>
        <v>153.05362424589498</v>
      </c>
      <c r="M46" s="21"/>
      <c r="N46" s="22"/>
    </row>
    <row r="47" spans="1:14" s="30" customFormat="1" ht="12.75">
      <c r="A47" s="27" t="s">
        <v>56</v>
      </c>
      <c r="B47" s="28">
        <f>B46</f>
        <v>50</v>
      </c>
      <c r="C47" s="28">
        <f aca="true" t="shared" si="11" ref="C47:L47">B47+C46</f>
        <v>108.295</v>
      </c>
      <c r="D47" s="28">
        <f t="shared" si="11"/>
        <v>171.9245</v>
      </c>
      <c r="E47" s="28">
        <f t="shared" si="11"/>
        <v>210.51695</v>
      </c>
      <c r="F47" s="28">
        <f t="shared" si="11"/>
        <v>245.968645</v>
      </c>
      <c r="G47" s="28">
        <f t="shared" si="11"/>
        <v>287.36550950000003</v>
      </c>
      <c r="H47" s="28">
        <f t="shared" si="11"/>
        <v>330.50206045000004</v>
      </c>
      <c r="I47" s="28">
        <f t="shared" si="11"/>
        <v>380.35226649500004</v>
      </c>
      <c r="J47" s="28">
        <f t="shared" si="11"/>
        <v>487.98749314450004</v>
      </c>
      <c r="K47" s="28">
        <f t="shared" si="11"/>
        <v>613.58624245895</v>
      </c>
      <c r="L47" s="28">
        <f t="shared" si="11"/>
        <v>766.639866704845</v>
      </c>
      <c r="M47" s="21"/>
      <c r="N47" s="22"/>
    </row>
    <row r="48" spans="1:14" ht="12.7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</row>
    <row r="49" spans="1:9" ht="12">
      <c r="A49" s="304"/>
      <c r="B49" s="305"/>
      <c r="C49" s="306"/>
      <c r="D49" s="306"/>
      <c r="E49" s="306"/>
      <c r="F49" s="306"/>
      <c r="G49" s="306"/>
      <c r="H49" s="306"/>
      <c r="I49" s="216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M25"/>
  <sheetViews>
    <sheetView zoomScale="75" zoomScaleNormal="75" workbookViewId="0" topLeftCell="A1">
      <selection activeCell="B32" sqref="B32"/>
    </sheetView>
  </sheetViews>
  <sheetFormatPr defaultColWidth="9.00390625" defaultRowHeight="12.75"/>
  <cols>
    <col min="1" max="1" width="22.50390625" style="12" customWidth="1"/>
    <col min="2" max="12" width="8.125" style="12" customWidth="1"/>
  </cols>
  <sheetData>
    <row r="2" spans="6:7" ht="12.75">
      <c r="F2" s="257" t="s">
        <v>218</v>
      </c>
      <c r="G2" s="257" t="s">
        <v>338</v>
      </c>
    </row>
    <row r="3" ht="12.75">
      <c r="G3" s="258" t="s">
        <v>337</v>
      </c>
    </row>
    <row r="4" spans="1:12" ht="12.75">
      <c r="A4" s="76" t="s">
        <v>35</v>
      </c>
      <c r="B4" s="77">
        <v>0</v>
      </c>
      <c r="C4" s="77">
        <v>1</v>
      </c>
      <c r="D4" s="77">
        <v>2</v>
      </c>
      <c r="E4" s="77">
        <v>3</v>
      </c>
      <c r="F4" s="77">
        <v>4</v>
      </c>
      <c r="G4" s="77">
        <v>5</v>
      </c>
      <c r="H4" s="77">
        <v>6</v>
      </c>
      <c r="I4" s="77">
        <v>7</v>
      </c>
      <c r="J4" s="77">
        <v>8</v>
      </c>
      <c r="K4" s="77">
        <v>9</v>
      </c>
      <c r="L4" s="77">
        <v>10</v>
      </c>
    </row>
    <row r="5" spans="1:12" ht="12.75">
      <c r="A5" s="78"/>
      <c r="B5" s="77">
        <f>C5-1</f>
        <v>1998</v>
      </c>
      <c r="C5" s="77">
        <f>Assumptions!B7</f>
        <v>1999</v>
      </c>
      <c r="D5" s="77">
        <f>C5+1</f>
        <v>2000</v>
      </c>
      <c r="E5" s="77">
        <f aca="true" t="shared" si="0" ref="E5:L5">D5+1</f>
        <v>2001</v>
      </c>
      <c r="F5" s="77">
        <f t="shared" si="0"/>
        <v>2002</v>
      </c>
      <c r="G5" s="77">
        <f t="shared" si="0"/>
        <v>2003</v>
      </c>
      <c r="H5" s="77">
        <f t="shared" si="0"/>
        <v>2004</v>
      </c>
      <c r="I5" s="77">
        <f t="shared" si="0"/>
        <v>2005</v>
      </c>
      <c r="J5" s="77">
        <f t="shared" si="0"/>
        <v>2006</v>
      </c>
      <c r="K5" s="77">
        <f t="shared" si="0"/>
        <v>2007</v>
      </c>
      <c r="L5" s="77">
        <f t="shared" si="0"/>
        <v>2008</v>
      </c>
    </row>
    <row r="8" spans="1:13" ht="12.75">
      <c r="A8" s="180" t="s">
        <v>57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3"/>
    </row>
    <row r="9" spans="1:13" ht="12.75">
      <c r="A9" s="177" t="s">
        <v>58</v>
      </c>
      <c r="B9" s="182">
        <f>Assumptions!$B$18</f>
        <v>0.01</v>
      </c>
      <c r="C9" s="182">
        <f>Assumptions!$B$18</f>
        <v>0.01</v>
      </c>
      <c r="D9" s="182">
        <f>Assumptions!$B$18</f>
        <v>0.01</v>
      </c>
      <c r="E9" s="182">
        <f>Assumptions!$B$18</f>
        <v>0.01</v>
      </c>
      <c r="F9" s="182">
        <f>Assumptions!$B$18</f>
        <v>0.01</v>
      </c>
      <c r="G9" s="182">
        <f>Assumptions!$B$18</f>
        <v>0.01</v>
      </c>
      <c r="H9" s="182">
        <f>Assumptions!$B$18</f>
        <v>0.01</v>
      </c>
      <c r="I9" s="182">
        <f>Assumptions!$B$18</f>
        <v>0.01</v>
      </c>
      <c r="J9" s="182">
        <f>Assumptions!$B$18</f>
        <v>0.01</v>
      </c>
      <c r="K9" s="182">
        <f>Assumptions!$B$18</f>
        <v>0.01</v>
      </c>
      <c r="L9" s="182">
        <f>Assumptions!$B$18</f>
        <v>0.01</v>
      </c>
      <c r="M9" s="3"/>
    </row>
    <row r="10" spans="1:13" ht="12.75">
      <c r="A10" s="177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3"/>
    </row>
    <row r="11" spans="1:13" ht="12.75">
      <c r="A11" s="87" t="s">
        <v>59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3"/>
    </row>
    <row r="12" spans="1:13" ht="12.75">
      <c r="A12" s="84" t="s">
        <v>60</v>
      </c>
      <c r="B12" s="84">
        <f>ROUND(Demand!B97/Assumptions!$B$19,0)</f>
        <v>2</v>
      </c>
      <c r="C12" s="84">
        <f>MAXA(Assumptions!B21,ROUND(Demand!C97/Assumptions!$B$19,0))</f>
        <v>35</v>
      </c>
      <c r="D12" s="84">
        <f>MAXA(Assumptions!C21,ROUND(Demand!D97/Assumptions!$B$19,0))</f>
        <v>45</v>
      </c>
      <c r="E12" s="84">
        <f>ROUND(Demand!E97/Assumptions!$B$19,0)</f>
        <v>3</v>
      </c>
      <c r="F12" s="84">
        <f>ROUND(Demand!F97/Assumptions!$B$19,0)</f>
        <v>3</v>
      </c>
      <c r="G12" s="84">
        <f>ROUND(Demand!G97/Assumptions!$B$19,0)</f>
        <v>3</v>
      </c>
      <c r="H12" s="84">
        <f>ROUND(Demand!H97/Assumptions!$B$20,0)</f>
        <v>2</v>
      </c>
      <c r="I12" s="84">
        <f>ROUND(Demand!I97/Assumptions!$B$20,0)</f>
        <v>2</v>
      </c>
      <c r="J12" s="84">
        <f>ROUND(Demand!J97/Assumptions!$B$20,0)</f>
        <v>3</v>
      </c>
      <c r="K12" s="84">
        <f>ROUND(Demand!K97/Assumptions!$B$20,0)</f>
        <v>3</v>
      </c>
      <c r="L12" s="84">
        <f>ROUND(Demand!L97/Assumptions!$B$20,0)</f>
        <v>3</v>
      </c>
      <c r="M12" s="3"/>
    </row>
    <row r="13" spans="1:13" ht="12.75">
      <c r="A13" s="84" t="s">
        <v>61</v>
      </c>
      <c r="B13" s="31">
        <v>278</v>
      </c>
      <c r="C13" s="31">
        <v>300</v>
      </c>
      <c r="D13" s="31">
        <v>324</v>
      </c>
      <c r="E13" s="31">
        <v>350</v>
      </c>
      <c r="F13" s="31">
        <v>378</v>
      </c>
      <c r="G13" s="31">
        <v>408</v>
      </c>
      <c r="H13" s="31">
        <v>441</v>
      </c>
      <c r="I13" s="31">
        <v>476</v>
      </c>
      <c r="J13" s="31">
        <v>514</v>
      </c>
      <c r="K13" s="31">
        <v>555</v>
      </c>
      <c r="L13" s="31">
        <v>599</v>
      </c>
      <c r="M13" s="3"/>
    </row>
    <row r="14" spans="1:13" ht="12.75">
      <c r="A14" s="84" t="s">
        <v>62</v>
      </c>
      <c r="B14" s="183">
        <f aca="true" t="shared" si="1" ref="B14:L14">B12*B13*12/1000000</f>
        <v>0.006672</v>
      </c>
      <c r="C14" s="183">
        <f t="shared" si="1"/>
        <v>0.126</v>
      </c>
      <c r="D14" s="183">
        <f t="shared" si="1"/>
        <v>0.17496</v>
      </c>
      <c r="E14" s="183">
        <f t="shared" si="1"/>
        <v>0.0126</v>
      </c>
      <c r="F14" s="183">
        <f t="shared" si="1"/>
        <v>0.013608</v>
      </c>
      <c r="G14" s="183">
        <f t="shared" si="1"/>
        <v>0.014688</v>
      </c>
      <c r="H14" s="183">
        <f t="shared" si="1"/>
        <v>0.010584</v>
      </c>
      <c r="I14" s="183">
        <f t="shared" si="1"/>
        <v>0.011424</v>
      </c>
      <c r="J14" s="183">
        <f t="shared" si="1"/>
        <v>0.018504</v>
      </c>
      <c r="K14" s="183">
        <f t="shared" si="1"/>
        <v>0.01998</v>
      </c>
      <c r="L14" s="183">
        <f t="shared" si="1"/>
        <v>0.021564</v>
      </c>
      <c r="M14" s="3"/>
    </row>
    <row r="15" spans="1:13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3"/>
    </row>
    <row r="16" spans="1:13" ht="12.75">
      <c r="A16" s="84" t="s">
        <v>63</v>
      </c>
      <c r="B16" s="31">
        <v>2000</v>
      </c>
      <c r="C16" s="31">
        <v>2000</v>
      </c>
      <c r="D16" s="31">
        <v>500</v>
      </c>
      <c r="E16" s="31">
        <v>500</v>
      </c>
      <c r="F16" s="31">
        <v>500</v>
      </c>
      <c r="G16" s="31">
        <v>500</v>
      </c>
      <c r="H16" s="31">
        <v>500</v>
      </c>
      <c r="I16" s="31">
        <v>500</v>
      </c>
      <c r="J16" s="31">
        <v>500</v>
      </c>
      <c r="K16" s="31">
        <v>500</v>
      </c>
      <c r="L16" s="31">
        <v>500</v>
      </c>
      <c r="M16" s="3"/>
    </row>
    <row r="17" spans="1:13" ht="12.75">
      <c r="A17" s="84" t="s">
        <v>64</v>
      </c>
      <c r="B17" s="84">
        <f aca="true" t="shared" si="2" ref="B17:L17">B12*B16/1000000</f>
        <v>0.004</v>
      </c>
      <c r="C17" s="84">
        <f t="shared" si="2"/>
        <v>0.07</v>
      </c>
      <c r="D17" s="84">
        <f t="shared" si="2"/>
        <v>0.0225</v>
      </c>
      <c r="E17" s="84">
        <f t="shared" si="2"/>
        <v>0.0015</v>
      </c>
      <c r="F17" s="84">
        <f t="shared" si="2"/>
        <v>0.0015</v>
      </c>
      <c r="G17" s="84">
        <f t="shared" si="2"/>
        <v>0.0015</v>
      </c>
      <c r="H17" s="84">
        <f t="shared" si="2"/>
        <v>0.001</v>
      </c>
      <c r="I17" s="84">
        <f t="shared" si="2"/>
        <v>0.001</v>
      </c>
      <c r="J17" s="84">
        <f t="shared" si="2"/>
        <v>0.0015</v>
      </c>
      <c r="K17" s="84">
        <f t="shared" si="2"/>
        <v>0.0015</v>
      </c>
      <c r="L17" s="84">
        <f t="shared" si="2"/>
        <v>0.0015</v>
      </c>
      <c r="M17" s="3"/>
    </row>
    <row r="18" spans="1:13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3"/>
    </row>
    <row r="19" spans="1:13" ht="12.75">
      <c r="A19" s="84" t="s">
        <v>65</v>
      </c>
      <c r="B19" s="184">
        <v>7500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3"/>
    </row>
    <row r="20" spans="1:13" ht="12.75">
      <c r="A20" s="84" t="s">
        <v>66</v>
      </c>
      <c r="B20" s="31">
        <v>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3"/>
    </row>
    <row r="21" spans="1:13" ht="12.75">
      <c r="A21" s="84" t="s">
        <v>67</v>
      </c>
      <c r="B21" s="185">
        <v>0.1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3"/>
    </row>
    <row r="22" spans="1:13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"/>
    </row>
    <row r="23" spans="1:13" ht="12.75">
      <c r="A23" s="65" t="s">
        <v>432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"/>
    </row>
    <row r="24" spans="1:2" ht="12.75">
      <c r="A24" s="12" t="s">
        <v>210</v>
      </c>
      <c r="B24" s="307">
        <f>CapEqtCosts!C6/1000000</f>
        <v>0.15</v>
      </c>
    </row>
    <row r="25" spans="1:2" ht="12.75">
      <c r="A25" s="12" t="s">
        <v>211</v>
      </c>
      <c r="B25" s="307">
        <f>CapEqtCosts!C7/1000000</f>
        <v>0.1</v>
      </c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M109"/>
  <sheetViews>
    <sheetView zoomScale="75" zoomScaleNormal="75" workbookViewId="0" topLeftCell="A45">
      <selection activeCell="A48" sqref="A48:IV48"/>
    </sheetView>
  </sheetViews>
  <sheetFormatPr defaultColWidth="9.00390625" defaultRowHeight="12.75"/>
  <cols>
    <col min="1" max="1" width="22.875" style="0" customWidth="1"/>
    <col min="2" max="12" width="8.125" style="0" customWidth="1"/>
  </cols>
  <sheetData>
    <row r="1" spans="1:13" ht="12.75">
      <c r="A1" s="70" t="s">
        <v>68</v>
      </c>
      <c r="B1" s="71"/>
      <c r="C1" s="72"/>
      <c r="D1" s="72"/>
      <c r="E1" s="73"/>
      <c r="F1" s="73"/>
      <c r="G1" s="73"/>
      <c r="H1" s="73"/>
      <c r="I1" s="73"/>
      <c r="J1" s="73"/>
      <c r="K1" s="73"/>
      <c r="L1" s="73"/>
      <c r="M1" s="74"/>
    </row>
    <row r="2" spans="1:13" ht="12.75">
      <c r="A2" s="70"/>
      <c r="B2" s="71"/>
      <c r="C2" s="72"/>
      <c r="D2" s="72"/>
      <c r="E2" s="73"/>
      <c r="F2" s="73"/>
      <c r="G2" s="73"/>
      <c r="H2" s="73"/>
      <c r="I2" s="73"/>
      <c r="J2" s="73"/>
      <c r="K2" s="73"/>
      <c r="L2" s="73"/>
      <c r="M2" s="74"/>
    </row>
    <row r="3" spans="1:13" ht="12.75">
      <c r="A3" s="70" t="s">
        <v>69</v>
      </c>
      <c r="B3" s="71"/>
      <c r="C3" s="72"/>
      <c r="D3" s="72"/>
      <c r="E3" s="73"/>
      <c r="F3" s="73"/>
      <c r="G3" s="73"/>
      <c r="H3" s="73"/>
      <c r="I3" s="73"/>
      <c r="J3" s="73"/>
      <c r="K3" s="73"/>
      <c r="L3" s="73"/>
      <c r="M3" s="74"/>
    </row>
    <row r="4" spans="1:13" ht="12.75">
      <c r="A4" s="76" t="s">
        <v>35</v>
      </c>
      <c r="B4" s="77">
        <v>0</v>
      </c>
      <c r="C4" s="77">
        <v>1</v>
      </c>
      <c r="D4" s="77">
        <v>2</v>
      </c>
      <c r="E4" s="77">
        <v>3</v>
      </c>
      <c r="F4" s="77">
        <v>4</v>
      </c>
      <c r="G4" s="77">
        <v>5</v>
      </c>
      <c r="H4" s="77">
        <v>6</v>
      </c>
      <c r="I4" s="77">
        <v>7</v>
      </c>
      <c r="J4" s="77">
        <v>8</v>
      </c>
      <c r="K4" s="77">
        <v>9</v>
      </c>
      <c r="L4" s="77">
        <v>10</v>
      </c>
      <c r="M4" s="74"/>
    </row>
    <row r="5" spans="1:13" ht="12.75">
      <c r="A5" s="78"/>
      <c r="B5" s="77">
        <f>C5-1</f>
        <v>1998</v>
      </c>
      <c r="C5" s="77">
        <f>Assumptions!B7</f>
        <v>1999</v>
      </c>
      <c r="D5" s="77">
        <f>C5+1</f>
        <v>2000</v>
      </c>
      <c r="E5" s="77">
        <f aca="true" t="shared" si="0" ref="E5:L5">D5+1</f>
        <v>2001</v>
      </c>
      <c r="F5" s="77">
        <f t="shared" si="0"/>
        <v>2002</v>
      </c>
      <c r="G5" s="77">
        <f t="shared" si="0"/>
        <v>2003</v>
      </c>
      <c r="H5" s="77">
        <f t="shared" si="0"/>
        <v>2004</v>
      </c>
      <c r="I5" s="77">
        <f t="shared" si="0"/>
        <v>2005</v>
      </c>
      <c r="J5" s="77">
        <f t="shared" si="0"/>
        <v>2006</v>
      </c>
      <c r="K5" s="77">
        <f t="shared" si="0"/>
        <v>2007</v>
      </c>
      <c r="L5" s="77">
        <f t="shared" si="0"/>
        <v>2008</v>
      </c>
      <c r="M5" s="74"/>
    </row>
    <row r="6" spans="1:13" ht="12.75">
      <c r="A6" s="79" t="s">
        <v>70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4"/>
    </row>
    <row r="7" spans="1:13" ht="12.75">
      <c r="A7" s="80" t="s">
        <v>71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ht="12.75">
      <c r="A8" s="81" t="s">
        <v>72</v>
      </c>
      <c r="B8" s="82">
        <v>0</v>
      </c>
      <c r="C8" s="82">
        <f>Demand!$B$104*(Demand!C100)/1000</f>
        <v>2.4136105316863605</v>
      </c>
      <c r="D8" s="82">
        <f>Demand!$B$104*(Demand!D100)/1000</f>
        <v>2.6524355622601665</v>
      </c>
      <c r="E8" s="82">
        <f>Demand!$B$104*(Demand!E100)/1000</f>
        <v>2.497314197976853</v>
      </c>
      <c r="F8" s="82">
        <f>Demand!$B$104*(Demand!F100)/1000</f>
        <v>2.6218158743443536</v>
      </c>
      <c r="G8" s="82">
        <f>Demand!$B$104*(Demand!G100)/1000</f>
        <v>2.6480043923094616</v>
      </c>
      <c r="H8" s="82">
        <f>Demand!$B$104*(Demand!H100)/1000</f>
        <v>2.691492148945616</v>
      </c>
      <c r="I8" s="82">
        <f>Demand!$B$104*(Demand!I100)/1000</f>
        <v>2.7666952229442767</v>
      </c>
      <c r="J8" s="82">
        <f>Demand!$B$104*(Demand!J100)/1000</f>
        <v>4.504470892008569</v>
      </c>
      <c r="K8" s="82">
        <f>Demand!$B$104*(Demand!K100)/1000</f>
        <v>4.958291949825626</v>
      </c>
      <c r="L8" s="82">
        <f>Demand!$B$104*(Demand!L100)/1000</f>
        <v>5.4612716586829775</v>
      </c>
      <c r="M8" s="74"/>
    </row>
    <row r="9" spans="1:13" ht="12.75">
      <c r="A9" s="81" t="s">
        <v>73</v>
      </c>
      <c r="B9" s="82">
        <v>0</v>
      </c>
      <c r="C9" s="82">
        <f>Demand!C$117*Demand!C101*12/1000</f>
        <v>162.49025639165444</v>
      </c>
      <c r="D9" s="82">
        <f>Demand!D$117*Demand!D101*12/1000</f>
        <v>170.47505846833252</v>
      </c>
      <c r="E9" s="82">
        <f>Demand!E$117*Demand!E101*12/1000</f>
        <v>173.14462798042845</v>
      </c>
      <c r="F9" s="82">
        <f>Demand!F$117*Demand!F101*12/1000</f>
        <v>170.73101734630794</v>
      </c>
      <c r="G9" s="82">
        <f>Demand!G$117*Demand!G101*12/1000</f>
        <v>168.58383003070554</v>
      </c>
      <c r="H9" s="82">
        <f>Demand!H$117*Demand!H101*12/1000</f>
        <v>166.3619656717782</v>
      </c>
      <c r="I9" s="82">
        <f>Demand!I$117*Demand!I101*12/1000</f>
        <v>164.2681677093498</v>
      </c>
      <c r="J9" s="82">
        <f>Demand!J$117*Demand!J101*12/1000</f>
        <v>168.17576228642616</v>
      </c>
      <c r="K9" s="82">
        <f>Demand!K$117*Demand!K101*12/1000</f>
        <v>178.19973320050548</v>
      </c>
      <c r="L9" s="82">
        <f>Demand!L$117*Demand!L101*12/1000</f>
        <v>189.10933052029748</v>
      </c>
      <c r="M9" s="74"/>
    </row>
    <row r="10" spans="1:13" ht="12.75">
      <c r="A10" s="80" t="s">
        <v>74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74"/>
    </row>
    <row r="11" spans="1:13" ht="12.75">
      <c r="A11" s="83" t="s">
        <v>75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74"/>
    </row>
    <row r="12" spans="1:13" ht="12.75">
      <c r="A12" s="83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74"/>
    </row>
    <row r="13" spans="1:13" ht="12.75">
      <c r="A13" s="75" t="s">
        <v>76</v>
      </c>
      <c r="B13" s="82">
        <f aca="true" t="shared" si="1" ref="B13:L13">SUM(B8:B11)</f>
        <v>0</v>
      </c>
      <c r="C13" s="82">
        <f t="shared" si="1"/>
        <v>164.90386692334081</v>
      </c>
      <c r="D13" s="82">
        <f t="shared" si="1"/>
        <v>173.1274940305927</v>
      </c>
      <c r="E13" s="82">
        <f t="shared" si="1"/>
        <v>175.64194217840532</v>
      </c>
      <c r="F13" s="82">
        <f t="shared" si="1"/>
        <v>173.3528332206523</v>
      </c>
      <c r="G13" s="82">
        <f t="shared" si="1"/>
        <v>171.23183442301502</v>
      </c>
      <c r="H13" s="82">
        <f t="shared" si="1"/>
        <v>169.05345782072382</v>
      </c>
      <c r="I13" s="82">
        <f t="shared" si="1"/>
        <v>167.03486293229406</v>
      </c>
      <c r="J13" s="82">
        <f t="shared" si="1"/>
        <v>172.68023317843472</v>
      </c>
      <c r="K13" s="82">
        <f t="shared" si="1"/>
        <v>183.1580251503311</v>
      </c>
      <c r="L13" s="82">
        <f t="shared" si="1"/>
        <v>194.57060217898047</v>
      </c>
      <c r="M13" s="74"/>
    </row>
    <row r="14" spans="1:13" ht="12.75">
      <c r="A14" s="84" t="s">
        <v>77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74"/>
    </row>
    <row r="15" spans="1:13" ht="12.75">
      <c r="A15" s="75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74"/>
    </row>
    <row r="16" spans="1:13" ht="12.75">
      <c r="A16" s="81" t="s">
        <v>202</v>
      </c>
      <c r="B16" s="82">
        <f aca="true" t="shared" si="2" ref="B16:L16">B13-B14</f>
        <v>0</v>
      </c>
      <c r="C16" s="82">
        <f t="shared" si="2"/>
        <v>164.90386692334081</v>
      </c>
      <c r="D16" s="82">
        <f t="shared" si="2"/>
        <v>173.1274940305927</v>
      </c>
      <c r="E16" s="82">
        <f t="shared" si="2"/>
        <v>175.64194217840532</v>
      </c>
      <c r="F16" s="82">
        <f t="shared" si="2"/>
        <v>173.3528332206523</v>
      </c>
      <c r="G16" s="82">
        <f t="shared" si="2"/>
        <v>171.23183442301502</v>
      </c>
      <c r="H16" s="82">
        <f t="shared" si="2"/>
        <v>169.05345782072382</v>
      </c>
      <c r="I16" s="82">
        <f t="shared" si="2"/>
        <v>167.03486293229406</v>
      </c>
      <c r="J16" s="82">
        <f t="shared" si="2"/>
        <v>172.68023317843472</v>
      </c>
      <c r="K16" s="82">
        <f t="shared" si="2"/>
        <v>183.1580251503311</v>
      </c>
      <c r="L16" s="82">
        <f t="shared" si="2"/>
        <v>194.57060217898047</v>
      </c>
      <c r="M16" s="74"/>
    </row>
    <row r="17" spans="1:13" ht="12.75">
      <c r="A17" s="7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74"/>
    </row>
    <row r="18" spans="1:13" ht="12.75">
      <c r="A18" s="110" t="s">
        <v>88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74"/>
    </row>
    <row r="19" spans="1:13" ht="12.75">
      <c r="A19" s="81" t="s">
        <v>78</v>
      </c>
      <c r="B19" s="82">
        <v>0</v>
      </c>
      <c r="C19" s="82">
        <f>OpEx!C9*Demand!C101*Demand!C102*12/1000000</f>
        <v>0.005713350935558286</v>
      </c>
      <c r="D19" s="82">
        <f>OpEx!D9*Demand!D101*Demand!D102*12/1000000</f>
        <v>0.005910332872498868</v>
      </c>
      <c r="E19" s="82">
        <f>OpEx!E9*Demand!E101*Demand!E102*12/1000000</f>
        <v>0.0059158551210819685</v>
      </c>
      <c r="F19" s="82">
        <f>OpEx!F9*Demand!F101*Demand!F102*12/1000000</f>
        <v>0.005745702202159306</v>
      </c>
      <c r="G19" s="82">
        <f>OpEx!G9*Demand!G101*Demand!G102*12/1000000</f>
        <v>0.005585069069416163</v>
      </c>
      <c r="H19" s="82">
        <f>OpEx!H9*Demand!H101*Demand!H102*12/1000000</f>
        <v>0.00542255002627663</v>
      </c>
      <c r="I19" s="82">
        <f>OpEx!I9*Demand!I101*Demand!I102*12/1000000</f>
        <v>0.005264900076688683</v>
      </c>
      <c r="J19" s="82">
        <f>OpEx!J9*Demand!J101*Demand!J102*12/1000000</f>
        <v>0.005297039218376467</v>
      </c>
      <c r="K19" s="82">
        <f>OpEx!K9*Demand!K101*Demand!K102*12/1000000</f>
        <v>0.005512537425021028</v>
      </c>
      <c r="L19" s="82">
        <f>OpEx!L9*Demand!L101*Demand!L102*12/1000000</f>
        <v>0.005742088220726792</v>
      </c>
      <c r="M19" s="74"/>
    </row>
    <row r="20" spans="1:13" ht="12.75">
      <c r="A20" s="75" t="s">
        <v>79</v>
      </c>
      <c r="B20" s="86">
        <f>B9*Assumptions!$B$27</f>
        <v>0</v>
      </c>
      <c r="C20" s="86">
        <f>C9*Assumptions!$B$27</f>
        <v>8.124512819582723</v>
      </c>
      <c r="D20" s="86">
        <f>D9*Assumptions!$B$27</f>
        <v>8.523752923416627</v>
      </c>
      <c r="E20" s="86">
        <f>E9*Assumptions!$B$27</f>
        <v>8.657231399021423</v>
      </c>
      <c r="F20" s="86">
        <f>F9*Assumptions!$B$27</f>
        <v>8.536550867315396</v>
      </c>
      <c r="G20" s="86">
        <f>G9*Assumptions!$B$27</f>
        <v>8.429191501535277</v>
      </c>
      <c r="H20" s="86">
        <f>H9*Assumptions!$B$27</f>
        <v>8.31809828358891</v>
      </c>
      <c r="I20" s="86">
        <f>I9*Assumptions!$B$27</f>
        <v>8.21340838546749</v>
      </c>
      <c r="J20" s="86">
        <f>J9*Assumptions!$B$27</f>
        <v>8.40878811432131</v>
      </c>
      <c r="K20" s="86">
        <f>K9*Assumptions!$B$27</f>
        <v>8.909986660025274</v>
      </c>
      <c r="L20" s="86">
        <f>L9*Assumptions!$B$27</f>
        <v>9.455466526014874</v>
      </c>
      <c r="M20" s="74"/>
    </row>
    <row r="21" spans="1:13" ht="12.75">
      <c r="A21" s="75" t="s">
        <v>80</v>
      </c>
      <c r="B21" s="82">
        <f>B13*0.04</f>
        <v>0</v>
      </c>
      <c r="C21" s="82">
        <f>(C8+C9)*Assumptions!$B$13</f>
        <v>6.596154676933633</v>
      </c>
      <c r="D21" s="82">
        <f>(D8+D9)*Assumptions!$B$13</f>
        <v>6.9250997612237075</v>
      </c>
      <c r="E21" s="82">
        <f>(E8+E9)*Assumptions!$B$13</f>
        <v>7.025677687136213</v>
      </c>
      <c r="F21" s="82">
        <f>(F8+F9)*Assumptions!$B$13</f>
        <v>6.934113328826092</v>
      </c>
      <c r="G21" s="82">
        <f>(G8+G9)*Assumptions!$B$13</f>
        <v>6.849273376920601</v>
      </c>
      <c r="H21" s="82">
        <f>(H8+H9)*Assumptions!$B$13</f>
        <v>6.762138312828953</v>
      </c>
      <c r="I21" s="82">
        <f>(I8+I9)*Assumptions!$B$13</f>
        <v>6.681394517291762</v>
      </c>
      <c r="J21" s="82">
        <f>(J8+J9)*Assumptions!$B$13</f>
        <v>6.907209327137389</v>
      </c>
      <c r="K21" s="82">
        <f>(K8+K9)*Assumptions!$B$13</f>
        <v>7.326321006013244</v>
      </c>
      <c r="L21" s="82">
        <f>(L8+L9)*Assumptions!$B$13</f>
        <v>7.782824087159219</v>
      </c>
      <c r="M21" s="74"/>
    </row>
    <row r="22" spans="1:13" ht="12.75">
      <c r="A22" s="75" t="s">
        <v>81</v>
      </c>
      <c r="B22" s="82">
        <v>0</v>
      </c>
      <c r="C22" s="82">
        <f>C11*Assumptions!$B$12</f>
        <v>0</v>
      </c>
      <c r="D22" s="82">
        <f>D11*Assumptions!$B$12</f>
        <v>0</v>
      </c>
      <c r="E22" s="82">
        <f>E11*Assumptions!$B$12</f>
        <v>0</v>
      </c>
      <c r="F22" s="82">
        <f>F11*Assumptions!$B$12</f>
        <v>0</v>
      </c>
      <c r="G22" s="82">
        <f>G11*Assumptions!$B$12</f>
        <v>0</v>
      </c>
      <c r="H22" s="82">
        <f>H11*Assumptions!$B$12</f>
        <v>0</v>
      </c>
      <c r="I22" s="82">
        <f>I11*Assumptions!$B$12</f>
        <v>0</v>
      </c>
      <c r="J22" s="82">
        <f>J11*Assumptions!$B$12</f>
        <v>0</v>
      </c>
      <c r="K22" s="82">
        <f>K11*Assumptions!$B$12</f>
        <v>0</v>
      </c>
      <c r="L22" s="82">
        <f>L11*Assumptions!$B$12</f>
        <v>0</v>
      </c>
      <c r="M22" s="74"/>
    </row>
    <row r="23" spans="1:13" ht="12.75">
      <c r="A23" s="75" t="s">
        <v>82</v>
      </c>
      <c r="B23" s="86">
        <v>0</v>
      </c>
      <c r="C23" s="82">
        <f>Demand!C100*Demand!C18/1000000</f>
        <v>0.0024136105316863604</v>
      </c>
      <c r="D23" s="82">
        <f>Demand!D100*Demand!D18/1000000</f>
        <v>0.0026524355622601667</v>
      </c>
      <c r="E23" s="82">
        <f>Demand!E100*Demand!E18/1000000</f>
        <v>0.002497314197976853</v>
      </c>
      <c r="F23" s="82">
        <f>Demand!F100*Demand!F18/1000000</f>
        <v>0.002621815874344354</v>
      </c>
      <c r="G23" s="82">
        <f>Demand!G100*Demand!G18/1000000</f>
        <v>0.0031776052707713537</v>
      </c>
      <c r="H23" s="82">
        <f>Demand!H100*Demand!H18/1000000</f>
        <v>0.003229790578734739</v>
      </c>
      <c r="I23" s="82">
        <f>Demand!I100*Demand!I18/1000000</f>
        <v>0.0033200342675331323</v>
      </c>
      <c r="J23" s="82">
        <f>Demand!J100*Demand!J18/1000000</f>
        <v>0.005405365070410282</v>
      </c>
      <c r="K23" s="82">
        <f>Demand!K100*Demand!K18/1000000</f>
        <v>0.005949950339790751</v>
      </c>
      <c r="L23" s="82">
        <f>Demand!L100*Demand!L18/1000000</f>
        <v>0.006553525990419574</v>
      </c>
      <c r="M23" s="74"/>
    </row>
    <row r="24" spans="1:13" ht="12.75">
      <c r="A24" s="75" t="s">
        <v>83</v>
      </c>
      <c r="B24" s="82">
        <v>0</v>
      </c>
      <c r="C24" s="82">
        <f>120000/1000000</f>
        <v>0.12</v>
      </c>
      <c r="D24" s="82">
        <f>132000/1000000</f>
        <v>0.132</v>
      </c>
      <c r="E24" s="82">
        <f>145200/1000000</f>
        <v>0.1452</v>
      </c>
      <c r="F24" s="82">
        <f>159720/1000000</f>
        <v>0.15972</v>
      </c>
      <c r="G24" s="82">
        <f>175692/1000000</f>
        <v>0.175692</v>
      </c>
      <c r="H24" s="82">
        <f>193260/1000000</f>
        <v>0.19326</v>
      </c>
      <c r="I24" s="82">
        <f>212592/1000000</f>
        <v>0.212592</v>
      </c>
      <c r="J24" s="82">
        <f>233856/1000000</f>
        <v>0.233856</v>
      </c>
      <c r="K24" s="82">
        <f>257244/1000000</f>
        <v>0.257244</v>
      </c>
      <c r="L24" s="82">
        <f>282972/1000000</f>
        <v>0.282972</v>
      </c>
      <c r="M24" s="74"/>
    </row>
    <row r="25" spans="1:13" ht="12.75">
      <c r="A25" s="75" t="s">
        <v>84</v>
      </c>
      <c r="B25" s="82">
        <f>OpEx!B17</f>
        <v>0.004</v>
      </c>
      <c r="C25" s="82">
        <f>OpEx!C17</f>
        <v>0.07</v>
      </c>
      <c r="D25" s="82">
        <f>OpEx!D17</f>
        <v>0.0225</v>
      </c>
      <c r="E25" s="82">
        <f>OpEx!E17</f>
        <v>0.0015</v>
      </c>
      <c r="F25" s="82">
        <f>OpEx!F17</f>
        <v>0.0015</v>
      </c>
      <c r="G25" s="82">
        <f>OpEx!G17</f>
        <v>0.0015</v>
      </c>
      <c r="H25" s="82">
        <f>OpEx!H17</f>
        <v>0.001</v>
      </c>
      <c r="I25" s="82">
        <f>OpEx!I17</f>
        <v>0.001</v>
      </c>
      <c r="J25" s="82">
        <f>OpEx!J17</f>
        <v>0.0015</v>
      </c>
      <c r="K25" s="82">
        <f>OpEx!K17</f>
        <v>0.0015</v>
      </c>
      <c r="L25" s="82">
        <f>OpEx!L17</f>
        <v>0.0015</v>
      </c>
      <c r="M25" s="74"/>
    </row>
    <row r="26" spans="1:13" ht="12.75">
      <c r="A26" s="75" t="s">
        <v>85</v>
      </c>
      <c r="B26" s="86">
        <f>Demand!B101*Assumptions!$B$23/1000000</f>
        <v>0.0024066676691729327</v>
      </c>
      <c r="C26" s="86">
        <f>Demand!C101*Assumptions!$B$23/1000000</f>
        <v>0.002625580935725027</v>
      </c>
      <c r="D26" s="86">
        <f>Demand!D101*Assumptions!$B$23/1000000</f>
        <v>0.002859057207702926</v>
      </c>
      <c r="E26" s="86">
        <f>Demand!E101*Assumptions!$B$23/1000000</f>
        <v>0.003012345824726627</v>
      </c>
      <c r="F26" s="86">
        <f>Demand!F101*Assumptions!$B$23/1000000</f>
        <v>0.003079688607461091</v>
      </c>
      <c r="G26" s="86">
        <f>Demand!G101*Assumptions!$B$23/1000000</f>
        <v>0.0031511468059140565</v>
      </c>
      <c r="H26" s="86">
        <f>Demand!H101*Assumptions!$B$23/1000000</f>
        <v>0.003220475876293017</v>
      </c>
      <c r="I26" s="86">
        <f>Demand!I101*Assumptions!$B$23/1000000</f>
        <v>0.003291417779439787</v>
      </c>
      <c r="J26" s="86">
        <f>Demand!J101*Assumptions!$B$23/1000000</f>
        <v>0.003485799961772413</v>
      </c>
      <c r="K26" s="86">
        <f>Demand!K101*Assumptions!$B$23/1000000</f>
        <v>0.003818538890207234</v>
      </c>
      <c r="L26" s="86">
        <f>Demand!L101*Assumptions!$B$23/1000000</f>
        <v>0.0041868935809991304</v>
      </c>
      <c r="M26" s="74"/>
    </row>
    <row r="27" spans="1:13" ht="12.75">
      <c r="A27" s="75" t="s">
        <v>86</v>
      </c>
      <c r="B27" s="86">
        <f>OpEx!B14</f>
        <v>0.006672</v>
      </c>
      <c r="C27" s="86">
        <f>OpEx!C14</f>
        <v>0.126</v>
      </c>
      <c r="D27" s="86">
        <f>OpEx!D14</f>
        <v>0.17496</v>
      </c>
      <c r="E27" s="86">
        <f>OpEx!E14</f>
        <v>0.0126</v>
      </c>
      <c r="F27" s="86">
        <f>OpEx!F14</f>
        <v>0.013608</v>
      </c>
      <c r="G27" s="86">
        <f>OpEx!G14</f>
        <v>0.014688</v>
      </c>
      <c r="H27" s="86">
        <f>OpEx!H14</f>
        <v>0.010584</v>
      </c>
      <c r="I27" s="86">
        <f>OpEx!I14</f>
        <v>0.011424</v>
      </c>
      <c r="J27" s="86">
        <f>OpEx!J14</f>
        <v>0.018504</v>
      </c>
      <c r="K27" s="86">
        <f>OpEx!K14</f>
        <v>0.01998</v>
      </c>
      <c r="L27" s="86">
        <f>OpEx!L14</f>
        <v>0.021564</v>
      </c>
      <c r="M27" s="74"/>
    </row>
    <row r="28" spans="1:13" ht="12.75">
      <c r="A28" s="75" t="s">
        <v>87</v>
      </c>
      <c r="B28" s="86">
        <f>B27*Assumptions!$B$22</f>
        <v>5.0039999999999995E-05</v>
      </c>
      <c r="C28" s="86">
        <f>C27*Assumptions!$B$22</f>
        <v>0.000945</v>
      </c>
      <c r="D28" s="86">
        <f>D27*Assumptions!$B$22</f>
        <v>0.0013122</v>
      </c>
      <c r="E28" s="86">
        <f>E27*Assumptions!$B$22</f>
        <v>9.449999999999999E-05</v>
      </c>
      <c r="F28" s="86">
        <f>F27*Assumptions!$B$22</f>
        <v>0.00010206</v>
      </c>
      <c r="G28" s="86">
        <f>G27*Assumptions!$B$22</f>
        <v>0.00011015999999999999</v>
      </c>
      <c r="H28" s="86">
        <f>H27*Assumptions!$B$22</f>
        <v>7.937999999999999E-05</v>
      </c>
      <c r="I28" s="86">
        <f>I27*Assumptions!$B$22</f>
        <v>8.567999999999999E-05</v>
      </c>
      <c r="J28" s="86">
        <f>J27*Assumptions!$B$22</f>
        <v>0.00013878</v>
      </c>
      <c r="K28" s="86">
        <f>K27*Assumptions!$B$22</f>
        <v>0.00014985</v>
      </c>
      <c r="L28" s="86">
        <f>L27*Assumptions!$B$22</f>
        <v>0.00016172999999999998</v>
      </c>
      <c r="M28" s="74"/>
    </row>
    <row r="29" spans="1:13" ht="12.75">
      <c r="A29" s="75" t="s">
        <v>89</v>
      </c>
      <c r="B29" s="82">
        <f aca="true" t="shared" si="3" ref="B29:L29">2600/1000000</f>
        <v>0.0026</v>
      </c>
      <c r="C29" s="82">
        <f t="shared" si="3"/>
        <v>0.0026</v>
      </c>
      <c r="D29" s="82">
        <f t="shared" si="3"/>
        <v>0.0026</v>
      </c>
      <c r="E29" s="82">
        <f t="shared" si="3"/>
        <v>0.0026</v>
      </c>
      <c r="F29" s="82">
        <f t="shared" si="3"/>
        <v>0.0026</v>
      </c>
      <c r="G29" s="82">
        <f t="shared" si="3"/>
        <v>0.0026</v>
      </c>
      <c r="H29" s="82">
        <f t="shared" si="3"/>
        <v>0.0026</v>
      </c>
      <c r="I29" s="82">
        <f t="shared" si="3"/>
        <v>0.0026</v>
      </c>
      <c r="J29" s="82">
        <f t="shared" si="3"/>
        <v>0.0026</v>
      </c>
      <c r="K29" s="82">
        <f t="shared" si="3"/>
        <v>0.0026</v>
      </c>
      <c r="L29" s="82">
        <f t="shared" si="3"/>
        <v>0.0026</v>
      </c>
      <c r="M29" s="74"/>
    </row>
    <row r="30" spans="1:13" ht="12.75">
      <c r="A30" s="75" t="s">
        <v>90</v>
      </c>
      <c r="B30" s="86">
        <v>0</v>
      </c>
      <c r="C30" s="82">
        <f>CapEx!B47*Assumptions!$B$24</f>
        <v>5</v>
      </c>
      <c r="D30" s="82">
        <f>CapEx!C47*Assumptions!$B$24</f>
        <v>10.829500000000001</v>
      </c>
      <c r="E30" s="82">
        <f>CapEx!D47*Assumptions!$B$24</f>
        <v>17.19245</v>
      </c>
      <c r="F30" s="82">
        <f>CapEx!E47*Assumptions!$B$24</f>
        <v>21.051695000000002</v>
      </c>
      <c r="G30" s="82">
        <f>CapEx!F47*Assumptions!$B$24</f>
        <v>24.596864500000002</v>
      </c>
      <c r="H30" s="82">
        <f>CapEx!G47*Assumptions!$B$24</f>
        <v>28.736550950000005</v>
      </c>
      <c r="I30" s="82">
        <f>CapEx!H47*Assumptions!$B$24</f>
        <v>33.050206045</v>
      </c>
      <c r="J30" s="82">
        <f>CapEx!I47*Assumptions!$B$24</f>
        <v>38.035226649500004</v>
      </c>
      <c r="K30" s="82">
        <f>CapEx!J47*Assumptions!$B$24</f>
        <v>48.798749314450006</v>
      </c>
      <c r="L30" s="82">
        <f>CapEx!K47*Assumptions!$B$24</f>
        <v>61.358624245895</v>
      </c>
      <c r="M30" s="74"/>
    </row>
    <row r="31" spans="1:13" ht="12.75">
      <c r="A31" s="75" t="s">
        <v>91</v>
      </c>
      <c r="B31" s="86">
        <v>0</v>
      </c>
      <c r="C31" s="82">
        <f>CapEx!B47*Assumptions!$B$25</f>
        <v>1.5</v>
      </c>
      <c r="D31" s="82">
        <f>CapEx!C47*Assumptions!$B$25</f>
        <v>3.24885</v>
      </c>
      <c r="E31" s="82">
        <f>CapEx!D47*Assumptions!$B$25</f>
        <v>5.157735</v>
      </c>
      <c r="F31" s="82">
        <f>CapEx!E47*Assumptions!$B$25</f>
        <v>6.3155085</v>
      </c>
      <c r="G31" s="82">
        <f>CapEx!F47*Assumptions!$B$25</f>
        <v>7.37905935</v>
      </c>
      <c r="H31" s="82">
        <f>CapEx!G47*Assumptions!$B$25</f>
        <v>8.620965285</v>
      </c>
      <c r="I31" s="82">
        <f>CapEx!H47*Assumptions!$B$25</f>
        <v>9.915061813500001</v>
      </c>
      <c r="J31" s="82">
        <f>CapEx!I47*Assumptions!$B$25</f>
        <v>11.41056799485</v>
      </c>
      <c r="K31" s="82">
        <f>CapEx!J47*Assumptions!$B$25</f>
        <v>14.639624794335</v>
      </c>
      <c r="L31" s="82">
        <f>CapEx!K47*Assumptions!$B$25</f>
        <v>18.4075872737685</v>
      </c>
      <c r="M31" s="74"/>
    </row>
    <row r="32" spans="1:13" ht="12.75">
      <c r="A32" s="84" t="s">
        <v>433</v>
      </c>
      <c r="B32" s="86">
        <v>0</v>
      </c>
      <c r="C32" s="86">
        <f>SUM(OpEx!B24:$B$25)</f>
        <v>0.25</v>
      </c>
      <c r="D32" s="86">
        <f>SUM(OpEx!$B24:C$25)</f>
        <v>0.25</v>
      </c>
      <c r="E32" s="86">
        <f>SUM(OpEx!$B24:D$25)</f>
        <v>0.25</v>
      </c>
      <c r="F32" s="86">
        <f>SUM(OpEx!$B24:E$25)</f>
        <v>0.25</v>
      </c>
      <c r="G32" s="86">
        <f>SUM(OpEx!$B24:F$25)</f>
        <v>0.25</v>
      </c>
      <c r="H32" s="86">
        <f>SUM(OpEx!$B24:G$25)</f>
        <v>0.25</v>
      </c>
      <c r="I32" s="86">
        <f>SUM(OpEx!$B24:H$25)</f>
        <v>0.25</v>
      </c>
      <c r="J32" s="86">
        <f>SUM(OpEx!$B24:I$25)</f>
        <v>0.25</v>
      </c>
      <c r="K32" s="86">
        <f>SUM(OpEx!$B24:J$25)</f>
        <v>0.25</v>
      </c>
      <c r="L32" s="86">
        <f>SUM(OpEx!$B24:K$25)</f>
        <v>0.25</v>
      </c>
      <c r="M32" s="74"/>
    </row>
    <row r="33" spans="1:13" ht="12.75">
      <c r="A33" s="75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74"/>
    </row>
    <row r="34" spans="1:13" ht="12.75">
      <c r="A34" s="75" t="s">
        <v>93</v>
      </c>
      <c r="B34" s="82">
        <f>SUM(B29:B32)*Assumptions!$B$26</f>
        <v>0.00052</v>
      </c>
      <c r="C34" s="82">
        <f>SUM(C29:C32)*Assumptions!$B$26</f>
        <v>1.3505200000000002</v>
      </c>
      <c r="D34" s="82">
        <f>SUM(D29:D32)*Assumptions!$B$26</f>
        <v>2.8661900000000005</v>
      </c>
      <c r="E34" s="82">
        <f>SUM(E29:E32)*Assumptions!$B$26</f>
        <v>4.520557</v>
      </c>
      <c r="F34" s="82">
        <f>SUM(F29:F32)*Assumptions!$B$26</f>
        <v>5.523960700000001</v>
      </c>
      <c r="G34" s="82">
        <f>SUM(G29:G32)*Assumptions!$B$26</f>
        <v>6.445704770000001</v>
      </c>
      <c r="H34" s="82">
        <f>SUM(H29:H32)*Assumptions!$B$26</f>
        <v>7.522023247000002</v>
      </c>
      <c r="I34" s="82">
        <f>SUM(I29:I32)*Assumptions!$B$26</f>
        <v>8.643573571700001</v>
      </c>
      <c r="J34" s="82">
        <f>SUM(J29:J32)*Assumptions!$B$26</f>
        <v>9.939678928870002</v>
      </c>
      <c r="K34" s="82">
        <f>SUM(K29:K32)*Assumptions!$B$26</f>
        <v>12.738194821757002</v>
      </c>
      <c r="L34" s="82">
        <f>SUM(L29:L32)*Assumptions!$B$26</f>
        <v>16.0037623039327</v>
      </c>
      <c r="M34" s="74"/>
    </row>
    <row r="35" spans="1:13" ht="12.75">
      <c r="A35" s="75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74"/>
    </row>
    <row r="36" spans="1:13" ht="12.75">
      <c r="A36" s="75" t="s">
        <v>201</v>
      </c>
      <c r="B36" s="82">
        <f>SUM(B19:B34)</f>
        <v>0.016248707669172933</v>
      </c>
      <c r="C36" s="82">
        <f aca="true" t="shared" si="4" ref="C36:L36">SUM(C19:C34)</f>
        <v>23.151485038919322</v>
      </c>
      <c r="D36" s="82">
        <f t="shared" si="4"/>
        <v>32.9881867102828</v>
      </c>
      <c r="E36" s="82">
        <f t="shared" si="4"/>
        <v>42.97707110130142</v>
      </c>
      <c r="F36" s="82">
        <f t="shared" si="4"/>
        <v>48.800805662825454</v>
      </c>
      <c r="G36" s="82">
        <f t="shared" si="4"/>
        <v>54.15659747960198</v>
      </c>
      <c r="H36" s="82">
        <f t="shared" si="4"/>
        <v>60.429172274899166</v>
      </c>
      <c r="I36" s="82">
        <f t="shared" si="4"/>
        <v>66.99322236508291</v>
      </c>
      <c r="J36" s="82">
        <f t="shared" si="4"/>
        <v>75.22225799892925</v>
      </c>
      <c r="K36" s="82">
        <f t="shared" si="4"/>
        <v>92.95963147323556</v>
      </c>
      <c r="L36" s="82">
        <f t="shared" si="4"/>
        <v>113.58354467456245</v>
      </c>
      <c r="M36" s="74"/>
    </row>
    <row r="37" spans="1:13" ht="12.75">
      <c r="A37" s="75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4"/>
    </row>
    <row r="38" spans="1:13" ht="12.75">
      <c r="A38" s="87" t="s">
        <v>243</v>
      </c>
      <c r="B38" s="108">
        <f aca="true" t="shared" si="5" ref="B38:L38">B16-B36</f>
        <v>-0.016248707669172933</v>
      </c>
      <c r="C38" s="108">
        <f t="shared" si="5"/>
        <v>141.75238188442148</v>
      </c>
      <c r="D38" s="108">
        <f t="shared" si="5"/>
        <v>140.13930732030988</v>
      </c>
      <c r="E38" s="108">
        <f t="shared" si="5"/>
        <v>132.6648710771039</v>
      </c>
      <c r="F38" s="108">
        <f t="shared" si="5"/>
        <v>124.55202755782683</v>
      </c>
      <c r="G38" s="108">
        <f t="shared" si="5"/>
        <v>117.07523694341305</v>
      </c>
      <c r="H38" s="108">
        <f t="shared" si="5"/>
        <v>108.62428554582465</v>
      </c>
      <c r="I38" s="108">
        <f t="shared" si="5"/>
        <v>100.04164056721115</v>
      </c>
      <c r="J38" s="108">
        <f t="shared" si="5"/>
        <v>97.45797517950547</v>
      </c>
      <c r="K38" s="108">
        <f t="shared" si="5"/>
        <v>90.19839367709554</v>
      </c>
      <c r="L38" s="108">
        <f t="shared" si="5"/>
        <v>80.98705750441802</v>
      </c>
      <c r="M38" s="74"/>
    </row>
    <row r="39" spans="1:13" ht="12.75">
      <c r="A39" s="84" t="s">
        <v>158</v>
      </c>
      <c r="B39" s="82">
        <f>Depr!B10</f>
        <v>3.571428571428571</v>
      </c>
      <c r="C39" s="82">
        <f>Depr!C10</f>
        <v>11.306785714285713</v>
      </c>
      <c r="D39" s="82">
        <f>Depr!D10</f>
        <v>20.01567857142857</v>
      </c>
      <c r="E39" s="82">
        <f>Depr!E10</f>
        <v>27.317246428571426</v>
      </c>
      <c r="F39" s="82">
        <f>Depr!F10</f>
        <v>32.60611392857143</v>
      </c>
      <c r="G39" s="82">
        <f>Depr!G10</f>
        <v>38.09529675</v>
      </c>
      <c r="H39" s="82">
        <f>Depr!H10</f>
        <v>44.13339785357143</v>
      </c>
      <c r="I39" s="82">
        <f>Depr!I10</f>
        <v>47.20388049607142</v>
      </c>
      <c r="J39" s="82">
        <f>Depr!J10</f>
        <v>50.71748283139286</v>
      </c>
      <c r="K39" s="82">
        <f>Depr!K10</f>
        <v>58.66815968596072</v>
      </c>
      <c r="L39" s="82">
        <f>Depr!L10</f>
        <v>71.27033279741393</v>
      </c>
      <c r="M39" s="74"/>
    </row>
    <row r="40" spans="1:13" ht="12.75">
      <c r="A40" s="75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74"/>
    </row>
    <row r="41" spans="1:13" ht="12.75">
      <c r="A41" s="87" t="s">
        <v>233</v>
      </c>
      <c r="B41" s="108">
        <f>B38-B39</f>
        <v>-3.5876772790977443</v>
      </c>
      <c r="C41" s="108">
        <f aca="true" t="shared" si="6" ref="C41:L41">C38-C39</f>
        <v>130.44559617013576</v>
      </c>
      <c r="D41" s="108">
        <f t="shared" si="6"/>
        <v>120.12362874888132</v>
      </c>
      <c r="E41" s="108">
        <f t="shared" si="6"/>
        <v>105.34762464853247</v>
      </c>
      <c r="F41" s="108">
        <f t="shared" si="6"/>
        <v>91.9459136292554</v>
      </c>
      <c r="G41" s="108">
        <f t="shared" si="6"/>
        <v>78.97994019341304</v>
      </c>
      <c r="H41" s="108">
        <f t="shared" si="6"/>
        <v>64.49088769225321</v>
      </c>
      <c r="I41" s="108">
        <f t="shared" si="6"/>
        <v>52.837760071139726</v>
      </c>
      <c r="J41" s="108">
        <f t="shared" si="6"/>
        <v>46.74049234811261</v>
      </c>
      <c r="K41" s="108">
        <f t="shared" si="6"/>
        <v>31.53023399113482</v>
      </c>
      <c r="L41" s="108">
        <f t="shared" si="6"/>
        <v>9.71672470700409</v>
      </c>
      <c r="M41" s="74"/>
    </row>
    <row r="42" spans="1:13" ht="12.7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74"/>
    </row>
    <row r="43" spans="1:13" ht="12.75">
      <c r="A43" s="75" t="s">
        <v>94</v>
      </c>
      <c r="B43" s="82">
        <f>Assumptions!$B$17*(BalSheet!A8)</f>
        <v>0</v>
      </c>
      <c r="C43" s="82">
        <f>Assumptions!$B$17*(BalSheet!B8)</f>
        <v>0.3069573745912282</v>
      </c>
      <c r="D43" s="82">
        <f>Assumptions!$B$17*(BalSheet!C8)</f>
        <v>1.6463075876200826</v>
      </c>
      <c r="E43" s="82">
        <f>Assumptions!$B$17*(BalSheet!D8)</f>
        <v>4.167267371617699</v>
      </c>
      <c r="F43" s="82">
        <f>Assumptions!$B$17*(BalSheet!E8)</f>
        <v>8.411865393717687</v>
      </c>
      <c r="G43" s="82">
        <f>Assumptions!$B$17*(BalSheet!F8)</f>
        <v>12.819602016998633</v>
      </c>
      <c r="H43" s="82">
        <f>Assumptions!$B$17*(BalSheet!G8)</f>
        <v>16.80279981049667</v>
      </c>
      <c r="I43" s="82">
        <f>Assumptions!$B$17*(BalSheet!H8)</f>
        <v>20.61438549318437</v>
      </c>
      <c r="J43" s="82">
        <f>Assumptions!$B$17*(BalSheet!I8)</f>
        <v>23.81539318855344</v>
      </c>
      <c r="K43" s="82">
        <f>Assumptions!$B$17*(BalSheet!J8)</f>
        <v>23.07298095785044</v>
      </c>
      <c r="L43" s="82">
        <f>Assumptions!$B$17*(BalSheet!K8)</f>
        <v>20.94519374938378</v>
      </c>
      <c r="M43" s="74"/>
    </row>
    <row r="44" spans="1:13" ht="12.75">
      <c r="A44" s="81" t="s">
        <v>95</v>
      </c>
      <c r="B44" s="82">
        <f>-Assumptions!$B$8*(BalSheet!A22+BalSheet!B22+BalSheet!A27+BalSheet!B27)/2</f>
        <v>-0.6</v>
      </c>
      <c r="C44" s="82">
        <f>-Assumptions!$B$8*(BalSheet!B22+BalSheet!C22+BalSheet!B27+BalSheet!C27)/2</f>
        <v>-0.6</v>
      </c>
      <c r="D44" s="82">
        <f>-Assumptions!$B$8*(BalSheet!C22+BalSheet!D22+BalSheet!C27+BalSheet!D27)/2</f>
        <v>0</v>
      </c>
      <c r="E44" s="82">
        <f>-Assumptions!$B$8*(BalSheet!D22+BalSheet!E22+BalSheet!D27+BalSheet!E27)/2</f>
        <v>0</v>
      </c>
      <c r="F44" s="82">
        <f>-Assumptions!$B$8*(BalSheet!E22+BalSheet!F22+BalSheet!E27+BalSheet!F27)/2</f>
        <v>0</v>
      </c>
      <c r="G44" s="82">
        <f>-Assumptions!$B$8*(BalSheet!F22+BalSheet!G22+BalSheet!F27+BalSheet!G27)/2</f>
        <v>0</v>
      </c>
      <c r="H44" s="82">
        <f>-Assumptions!$B$8*(BalSheet!G22+BalSheet!H22+BalSheet!G27+BalSheet!H27)/2</f>
        <v>0</v>
      </c>
      <c r="I44" s="82">
        <f>-Assumptions!$B$8*(BalSheet!H22+BalSheet!I22+BalSheet!H27+BalSheet!I27)/2</f>
        <v>0</v>
      </c>
      <c r="J44" s="82">
        <f>-Assumptions!$B$8*(BalSheet!I22+BalSheet!J22+BalSheet!I27+BalSheet!J27)/2</f>
        <v>0</v>
      </c>
      <c r="K44" s="82">
        <f>-Assumptions!$B$8*(BalSheet!J22+BalSheet!K22+BalSheet!J27+BalSheet!K27)/2</f>
        <v>0</v>
      </c>
      <c r="L44" s="82">
        <f>-Assumptions!$B$8*(BalSheet!K22+BalSheet!L22+BalSheet!K27+BalSheet!L27)/2</f>
        <v>0</v>
      </c>
      <c r="M44" s="74"/>
    </row>
    <row r="45" spans="1:13" ht="12.75">
      <c r="A45" s="75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74"/>
    </row>
    <row r="46" spans="1:13" ht="12.75">
      <c r="A46" s="79" t="s">
        <v>96</v>
      </c>
      <c r="B46" s="108">
        <f aca="true" t="shared" si="7" ref="B46:L46">SUM(B41:B44)</f>
        <v>-4.187677279097744</v>
      </c>
      <c r="C46" s="108">
        <f t="shared" si="7"/>
        <v>130.152553544727</v>
      </c>
      <c r="D46" s="108">
        <f t="shared" si="7"/>
        <v>121.7699363365014</v>
      </c>
      <c r="E46" s="108">
        <f t="shared" si="7"/>
        <v>109.51489202015017</v>
      </c>
      <c r="F46" s="108">
        <f t="shared" si="7"/>
        <v>100.35777902297309</v>
      </c>
      <c r="G46" s="108">
        <f t="shared" si="7"/>
        <v>91.79954221041167</v>
      </c>
      <c r="H46" s="108">
        <f t="shared" si="7"/>
        <v>81.29368750274988</v>
      </c>
      <c r="I46" s="108">
        <f t="shared" si="7"/>
        <v>73.4521455643241</v>
      </c>
      <c r="J46" s="108">
        <f t="shared" si="7"/>
        <v>70.55588553666605</v>
      </c>
      <c r="K46" s="108">
        <f t="shared" si="7"/>
        <v>54.60321494898526</v>
      </c>
      <c r="L46" s="108">
        <f t="shared" si="7"/>
        <v>30.66191845638787</v>
      </c>
      <c r="M46" s="74"/>
    </row>
    <row r="47" spans="1:13" ht="12.75">
      <c r="A47" s="75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74"/>
    </row>
    <row r="48" spans="1:13" ht="12.75">
      <c r="A48" s="75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74"/>
    </row>
    <row r="49" spans="1:13" ht="12.75">
      <c r="A49" s="107" t="s">
        <v>255</v>
      </c>
      <c r="B49" s="6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4"/>
    </row>
    <row r="50" spans="1:13" ht="12.75">
      <c r="A50" s="12" t="s">
        <v>340</v>
      </c>
      <c r="B50" s="98">
        <f>B46</f>
        <v>-4.187677279097744</v>
      </c>
      <c r="C50" s="98">
        <f aca="true" t="shared" si="8" ref="C50:L50">C46</f>
        <v>130.152553544727</v>
      </c>
      <c r="D50" s="98">
        <f t="shared" si="8"/>
        <v>121.7699363365014</v>
      </c>
      <c r="E50" s="98">
        <f t="shared" si="8"/>
        <v>109.51489202015017</v>
      </c>
      <c r="F50" s="98">
        <f t="shared" si="8"/>
        <v>100.35777902297309</v>
      </c>
      <c r="G50" s="98">
        <f t="shared" si="8"/>
        <v>91.79954221041167</v>
      </c>
      <c r="H50" s="98">
        <f t="shared" si="8"/>
        <v>81.29368750274988</v>
      </c>
      <c r="I50" s="98">
        <f t="shared" si="8"/>
        <v>73.4521455643241</v>
      </c>
      <c r="J50" s="98">
        <f t="shared" si="8"/>
        <v>70.55588553666605</v>
      </c>
      <c r="K50" s="98">
        <f t="shared" si="8"/>
        <v>54.60321494898526</v>
      </c>
      <c r="L50" s="98">
        <f t="shared" si="8"/>
        <v>30.66191845638787</v>
      </c>
      <c r="M50" s="74"/>
    </row>
    <row r="51" spans="1:13" ht="12.75">
      <c r="A51" s="12" t="s">
        <v>234</v>
      </c>
      <c r="B51" s="98">
        <f aca="true" t="shared" si="9" ref="B51:L51">B59</f>
        <v>0</v>
      </c>
      <c r="C51" s="98">
        <f t="shared" si="9"/>
        <v>-4.187677279097744</v>
      </c>
      <c r="D51" s="98">
        <f t="shared" si="9"/>
        <v>0</v>
      </c>
      <c r="E51" s="98">
        <f t="shared" si="9"/>
        <v>0</v>
      </c>
      <c r="F51" s="98">
        <f t="shared" si="9"/>
        <v>0</v>
      </c>
      <c r="G51" s="98">
        <f t="shared" si="9"/>
        <v>0</v>
      </c>
      <c r="H51" s="98">
        <f t="shared" si="9"/>
        <v>0</v>
      </c>
      <c r="I51" s="98">
        <f t="shared" si="9"/>
        <v>0</v>
      </c>
      <c r="J51" s="98">
        <f t="shared" si="9"/>
        <v>0</v>
      </c>
      <c r="K51" s="98">
        <f t="shared" si="9"/>
        <v>0</v>
      </c>
      <c r="L51" s="98">
        <f t="shared" si="9"/>
        <v>0</v>
      </c>
      <c r="M51" s="74"/>
    </row>
    <row r="52" spans="1:13" ht="12.75">
      <c r="A52" s="12" t="s">
        <v>235</v>
      </c>
      <c r="B52" s="98">
        <f aca="true" t="shared" si="10" ref="B52:L52">SUM(B50:B51)</f>
        <v>-4.187677279097744</v>
      </c>
      <c r="C52" s="98">
        <f t="shared" si="10"/>
        <v>125.96487626562926</v>
      </c>
      <c r="D52" s="98">
        <f t="shared" si="10"/>
        <v>121.7699363365014</v>
      </c>
      <c r="E52" s="98">
        <f t="shared" si="10"/>
        <v>109.51489202015017</v>
      </c>
      <c r="F52" s="98">
        <f t="shared" si="10"/>
        <v>100.35777902297309</v>
      </c>
      <c r="G52" s="98">
        <f t="shared" si="10"/>
        <v>91.79954221041167</v>
      </c>
      <c r="H52" s="98">
        <f t="shared" si="10"/>
        <v>81.29368750274988</v>
      </c>
      <c r="I52" s="98">
        <f t="shared" si="10"/>
        <v>73.4521455643241</v>
      </c>
      <c r="J52" s="98">
        <f t="shared" si="10"/>
        <v>70.55588553666605</v>
      </c>
      <c r="K52" s="98">
        <f t="shared" si="10"/>
        <v>54.60321494898526</v>
      </c>
      <c r="L52" s="98">
        <f t="shared" si="10"/>
        <v>30.66191845638787</v>
      </c>
      <c r="M52" s="74"/>
    </row>
    <row r="53" spans="1:13" ht="12.75">
      <c r="A53" s="12" t="s">
        <v>236</v>
      </c>
      <c r="B53" s="66">
        <v>0.35</v>
      </c>
      <c r="C53" s="66">
        <v>0.35</v>
      </c>
      <c r="D53" s="66">
        <v>0.35</v>
      </c>
      <c r="E53" s="66">
        <v>0.35</v>
      </c>
      <c r="F53" s="66">
        <v>0.35</v>
      </c>
      <c r="G53" s="66">
        <v>0.35</v>
      </c>
      <c r="H53" s="66">
        <v>0.35</v>
      </c>
      <c r="I53" s="66">
        <v>0.35</v>
      </c>
      <c r="J53" s="66">
        <v>0.35</v>
      </c>
      <c r="K53" s="66">
        <v>0.35</v>
      </c>
      <c r="L53" s="66">
        <v>0.35</v>
      </c>
      <c r="M53" s="74"/>
    </row>
    <row r="54" spans="1:13" ht="12.75">
      <c r="A54" s="12" t="s">
        <v>237</v>
      </c>
      <c r="B54" s="109">
        <f aca="true" t="shared" si="11" ref="B54:L54">IF(B52&lt;0,0,B52*B53)</f>
        <v>0</v>
      </c>
      <c r="C54" s="109">
        <f t="shared" si="11"/>
        <v>44.08770669297024</v>
      </c>
      <c r="D54" s="109">
        <f t="shared" si="11"/>
        <v>42.61947771777549</v>
      </c>
      <c r="E54" s="109">
        <f t="shared" si="11"/>
        <v>38.330212207052554</v>
      </c>
      <c r="F54" s="109">
        <f t="shared" si="11"/>
        <v>35.12522265804058</v>
      </c>
      <c r="G54" s="109">
        <f t="shared" si="11"/>
        <v>32.129839773644086</v>
      </c>
      <c r="H54" s="109">
        <f t="shared" si="11"/>
        <v>28.452790625962454</v>
      </c>
      <c r="I54" s="109">
        <f t="shared" si="11"/>
        <v>25.708250947513434</v>
      </c>
      <c r="J54" s="109">
        <f t="shared" si="11"/>
        <v>24.694559937833116</v>
      </c>
      <c r="K54" s="109">
        <f t="shared" si="11"/>
        <v>19.11112523214484</v>
      </c>
      <c r="L54" s="109">
        <f t="shared" si="11"/>
        <v>10.731671459735754</v>
      </c>
      <c r="M54" s="74"/>
    </row>
    <row r="55" spans="1:13" ht="12.75">
      <c r="A55" s="12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74"/>
    </row>
    <row r="56" spans="1:13" ht="12.75">
      <c r="A56" s="107" t="s">
        <v>248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74"/>
    </row>
    <row r="57" spans="1:13" ht="12.75">
      <c r="A57" s="12" t="s">
        <v>238</v>
      </c>
      <c r="B57" s="97">
        <v>0</v>
      </c>
      <c r="C57" s="96">
        <f aca="true" t="shared" si="12" ref="C57:L57">B60</f>
        <v>4.187677279097744</v>
      </c>
      <c r="D57" s="96">
        <f t="shared" si="12"/>
        <v>0</v>
      </c>
      <c r="E57" s="96">
        <f t="shared" si="12"/>
        <v>0</v>
      </c>
      <c r="F57" s="96">
        <f t="shared" si="12"/>
        <v>0</v>
      </c>
      <c r="G57" s="96">
        <f t="shared" si="12"/>
        <v>0</v>
      </c>
      <c r="H57" s="96">
        <f t="shared" si="12"/>
        <v>0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74"/>
    </row>
    <row r="58" spans="1:13" ht="12.75">
      <c r="A58" s="12" t="s">
        <v>239</v>
      </c>
      <c r="B58" s="96">
        <f aca="true" t="shared" si="13" ref="B58:L58">IF(B50&lt;0,-B50,0)</f>
        <v>4.187677279097744</v>
      </c>
      <c r="C58" s="96">
        <f t="shared" si="13"/>
        <v>0</v>
      </c>
      <c r="D58" s="96">
        <f t="shared" si="13"/>
        <v>0</v>
      </c>
      <c r="E58" s="96">
        <f t="shared" si="13"/>
        <v>0</v>
      </c>
      <c r="F58" s="96">
        <f t="shared" si="13"/>
        <v>0</v>
      </c>
      <c r="G58" s="96">
        <f t="shared" si="13"/>
        <v>0</v>
      </c>
      <c r="H58" s="96">
        <f t="shared" si="13"/>
        <v>0</v>
      </c>
      <c r="I58" s="96">
        <f t="shared" si="13"/>
        <v>0</v>
      </c>
      <c r="J58" s="96">
        <f t="shared" si="13"/>
        <v>0</v>
      </c>
      <c r="K58" s="96">
        <f t="shared" si="13"/>
        <v>0</v>
      </c>
      <c r="L58" s="96">
        <f t="shared" si="13"/>
        <v>0</v>
      </c>
      <c r="M58" s="74"/>
    </row>
    <row r="59" spans="1:13" ht="12.75">
      <c r="A59" s="12" t="s">
        <v>240</v>
      </c>
      <c r="B59" s="96">
        <f aca="true" t="shared" si="14" ref="B59:L59">IF(B50&gt;0,-MIN(B50,B57),0)</f>
        <v>0</v>
      </c>
      <c r="C59" s="96">
        <f t="shared" si="14"/>
        <v>-4.187677279097744</v>
      </c>
      <c r="D59" s="96">
        <f t="shared" si="14"/>
        <v>0</v>
      </c>
      <c r="E59" s="96">
        <f t="shared" si="14"/>
        <v>0</v>
      </c>
      <c r="F59" s="96">
        <f t="shared" si="14"/>
        <v>0</v>
      </c>
      <c r="G59" s="96">
        <f t="shared" si="14"/>
        <v>0</v>
      </c>
      <c r="H59" s="96">
        <f t="shared" si="14"/>
        <v>0</v>
      </c>
      <c r="I59" s="96">
        <f t="shared" si="14"/>
        <v>0</v>
      </c>
      <c r="J59" s="96">
        <f t="shared" si="14"/>
        <v>0</v>
      </c>
      <c r="K59" s="96">
        <f t="shared" si="14"/>
        <v>0</v>
      </c>
      <c r="L59" s="96">
        <f t="shared" si="14"/>
        <v>0</v>
      </c>
      <c r="M59" s="74"/>
    </row>
    <row r="60" spans="1:13" ht="12.75">
      <c r="A60" s="12" t="s">
        <v>241</v>
      </c>
      <c r="B60" s="96">
        <f aca="true" t="shared" si="15" ref="B60:L60">SUM(B57:B59)</f>
        <v>4.187677279097744</v>
      </c>
      <c r="C60" s="96">
        <f t="shared" si="15"/>
        <v>0</v>
      </c>
      <c r="D60" s="96">
        <f t="shared" si="15"/>
        <v>0</v>
      </c>
      <c r="E60" s="96">
        <f t="shared" si="15"/>
        <v>0</v>
      </c>
      <c r="F60" s="96">
        <f t="shared" si="15"/>
        <v>0</v>
      </c>
      <c r="G60" s="96">
        <f t="shared" si="15"/>
        <v>0</v>
      </c>
      <c r="H60" s="96">
        <f t="shared" si="15"/>
        <v>0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74"/>
    </row>
    <row r="61" spans="1:13" ht="12.75">
      <c r="A61" s="12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74"/>
    </row>
    <row r="62" spans="1:13" ht="12.75">
      <c r="A62" s="107" t="s">
        <v>256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74"/>
    </row>
    <row r="63" spans="1:13" ht="12.75">
      <c r="A63" s="81" t="str">
        <f>Assumptions!A10</f>
        <v>Excise Tax</v>
      </c>
      <c r="B63" s="86">
        <f>IF(B$46&gt;0,B$46*Assumptions!$B10,0)</f>
        <v>0</v>
      </c>
      <c r="C63" s="86">
        <f>IF(C$46&gt;0,C$46*Assumptions!$B10,0)</f>
        <v>0</v>
      </c>
      <c r="D63" s="86">
        <f>IF(D$46&gt;0,D$46*Assumptions!$B10,0)</f>
        <v>0</v>
      </c>
      <c r="E63" s="86">
        <f>IF(E$46&gt;0,E$46*Assumptions!$B10,0)</f>
        <v>0</v>
      </c>
      <c r="F63" s="86">
        <f>IF(F$46&gt;0,F$46*Assumptions!$B10,0)</f>
        <v>0</v>
      </c>
      <c r="G63" s="86">
        <f>IF(G$46&gt;0,G$46*Assumptions!$B10,0)</f>
        <v>0</v>
      </c>
      <c r="H63" s="86">
        <f>IF(H$46&gt;0,H$46*Assumptions!$B10,0)</f>
        <v>0</v>
      </c>
      <c r="I63" s="86">
        <f>IF(I$46&gt;0,I$46*Assumptions!$B10,0)</f>
        <v>0</v>
      </c>
      <c r="J63" s="86">
        <f>IF(J$46&gt;0,J$46*Assumptions!$B10,0)</f>
        <v>0</v>
      </c>
      <c r="K63" s="86">
        <f>IF(K$46&gt;0,K$46*Assumptions!$B10,0)</f>
        <v>0</v>
      </c>
      <c r="L63" s="86">
        <f>IF(L$46&gt;0,L$46*Assumptions!$B10,0)</f>
        <v>0</v>
      </c>
      <c r="M63" s="74"/>
    </row>
    <row r="64" spans="1:13" ht="12.75">
      <c r="A64" s="81" t="str">
        <f>Assumptions!A11</f>
        <v>License Tax</v>
      </c>
      <c r="B64" s="86">
        <f>IF(B$46&gt;0,B$46*Assumptions!$B11,0)</f>
        <v>0</v>
      </c>
      <c r="C64" s="86">
        <f>IF(C$46&gt;0,C$46*Assumptions!$B11,0)</f>
        <v>0</v>
      </c>
      <c r="D64" s="86">
        <f>IF(D$46&gt;0,D$46*Assumptions!$B11,0)</f>
        <v>0</v>
      </c>
      <c r="E64" s="86">
        <f>IF(E$46&gt;0,E$46*Assumptions!$B11,0)</f>
        <v>0</v>
      </c>
      <c r="F64" s="86">
        <f>IF(F$46&gt;0,F$46*Assumptions!$B11,0)</f>
        <v>0</v>
      </c>
      <c r="G64" s="86">
        <f>IF(G$46&gt;0,G$46*Assumptions!$B11,0)</f>
        <v>0</v>
      </c>
      <c r="H64" s="86">
        <f>IF(H$46&gt;0,H$46*Assumptions!$B11,0)</f>
        <v>0</v>
      </c>
      <c r="I64" s="86">
        <f>IF(I$46&gt;0,I$46*Assumptions!$B11,0)</f>
        <v>0</v>
      </c>
      <c r="J64" s="86">
        <f>IF(J$46&gt;0,J$46*Assumptions!$B11,0)</f>
        <v>0</v>
      </c>
      <c r="K64" s="86">
        <f>IF(K$46&gt;0,K$46*Assumptions!$B11,0)</f>
        <v>0</v>
      </c>
      <c r="L64" s="86">
        <f>IF(L$46&gt;0,L$46*Assumptions!$B11,0)</f>
        <v>0</v>
      </c>
      <c r="M64" s="74"/>
    </row>
    <row r="65" spans="1:13" ht="12.75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74"/>
    </row>
    <row r="66" spans="1:13" ht="12.75">
      <c r="A66" s="81" t="s">
        <v>97</v>
      </c>
      <c r="B66" s="108">
        <f>B54+B63+B64</f>
        <v>0</v>
      </c>
      <c r="C66" s="108">
        <f aca="true" t="shared" si="16" ref="C66:L66">C54+C63+C64</f>
        <v>44.08770669297024</v>
      </c>
      <c r="D66" s="108">
        <f t="shared" si="16"/>
        <v>42.61947771777549</v>
      </c>
      <c r="E66" s="108">
        <f t="shared" si="16"/>
        <v>38.330212207052554</v>
      </c>
      <c r="F66" s="108">
        <f t="shared" si="16"/>
        <v>35.12522265804058</v>
      </c>
      <c r="G66" s="108">
        <f t="shared" si="16"/>
        <v>32.129839773644086</v>
      </c>
      <c r="H66" s="108">
        <f t="shared" si="16"/>
        <v>28.452790625962454</v>
      </c>
      <c r="I66" s="108">
        <f t="shared" si="16"/>
        <v>25.708250947513434</v>
      </c>
      <c r="J66" s="108">
        <f t="shared" si="16"/>
        <v>24.694559937833116</v>
      </c>
      <c r="K66" s="108">
        <f t="shared" si="16"/>
        <v>19.11112523214484</v>
      </c>
      <c r="L66" s="108">
        <f t="shared" si="16"/>
        <v>10.731671459735754</v>
      </c>
      <c r="M66" s="74"/>
    </row>
    <row r="67" spans="1:13" ht="12.7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74"/>
    </row>
    <row r="68" spans="1:13" ht="12.75">
      <c r="A68" s="79" t="s">
        <v>98</v>
      </c>
      <c r="B68" s="108">
        <f aca="true" t="shared" si="17" ref="B68:L68">B46-B66</f>
        <v>-4.187677279097744</v>
      </c>
      <c r="C68" s="108">
        <f t="shared" si="17"/>
        <v>86.06484685175676</v>
      </c>
      <c r="D68" s="108">
        <f t="shared" si="17"/>
        <v>79.1504586187259</v>
      </c>
      <c r="E68" s="108">
        <f t="shared" si="17"/>
        <v>71.18467981309762</v>
      </c>
      <c r="F68" s="108">
        <f t="shared" si="17"/>
        <v>65.23255636493252</v>
      </c>
      <c r="G68" s="108">
        <f t="shared" si="17"/>
        <v>59.66970243676759</v>
      </c>
      <c r="H68" s="108">
        <f t="shared" si="17"/>
        <v>52.840896876787426</v>
      </c>
      <c r="I68" s="108">
        <f t="shared" si="17"/>
        <v>47.743894616810664</v>
      </c>
      <c r="J68" s="108">
        <f t="shared" si="17"/>
        <v>45.861325598832934</v>
      </c>
      <c r="K68" s="108">
        <f t="shared" si="17"/>
        <v>35.492089716840425</v>
      </c>
      <c r="L68" s="108">
        <f t="shared" si="17"/>
        <v>19.930246996652116</v>
      </c>
      <c r="M68" s="74"/>
    </row>
    <row r="69" spans="1:13" ht="12.7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74"/>
    </row>
    <row r="70" spans="1:13" ht="12.75">
      <c r="A70" s="88" t="s">
        <v>99</v>
      </c>
      <c r="B70" s="89">
        <f>SUM($A$68:B68)</f>
        <v>-4.187677279097744</v>
      </c>
      <c r="C70" s="89">
        <f>SUM($A$68:C68)</f>
        <v>81.87716957265901</v>
      </c>
      <c r="D70" s="89">
        <f>SUM($A$68:D68)</f>
        <v>161.0276281913849</v>
      </c>
      <c r="E70" s="89">
        <f>SUM($A$68:E68)</f>
        <v>232.2123080044825</v>
      </c>
      <c r="F70" s="89">
        <f>SUM($A$68:F68)</f>
        <v>297.44486436941503</v>
      </c>
      <c r="G70" s="89">
        <f>SUM($A$68:G68)</f>
        <v>357.1145668061826</v>
      </c>
      <c r="H70" s="89">
        <f>SUM($A$68:H68)</f>
        <v>409.95546368297005</v>
      </c>
      <c r="I70" s="89">
        <f>SUM($A$68:I68)</f>
        <v>457.6993582997807</v>
      </c>
      <c r="J70" s="89">
        <f>SUM($A$68:J68)</f>
        <v>503.56068389861366</v>
      </c>
      <c r="K70" s="89">
        <f>SUM($A$68:K68)</f>
        <v>539.052773615454</v>
      </c>
      <c r="L70" s="89">
        <f>SUM($A$68:L68)</f>
        <v>558.9830206121062</v>
      </c>
      <c r="M70" s="74"/>
    </row>
    <row r="71" spans="1:1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72" t="s">
        <v>118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74"/>
    </row>
    <row r="73" spans="1:13" ht="12.75">
      <c r="A73" s="75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74"/>
    </row>
    <row r="74" spans="1:13" ht="12.75">
      <c r="A74" s="76" t="s">
        <v>35</v>
      </c>
      <c r="B74" s="77">
        <v>0</v>
      </c>
      <c r="C74" s="77">
        <v>1</v>
      </c>
      <c r="D74" s="77">
        <v>2</v>
      </c>
      <c r="E74" s="77">
        <v>3</v>
      </c>
      <c r="F74" s="77">
        <v>4</v>
      </c>
      <c r="G74" s="77">
        <v>5</v>
      </c>
      <c r="H74" s="77">
        <v>6</v>
      </c>
      <c r="I74" s="77">
        <v>7</v>
      </c>
      <c r="J74" s="77">
        <v>8</v>
      </c>
      <c r="K74" s="77">
        <v>9</v>
      </c>
      <c r="L74" s="77">
        <v>10</v>
      </c>
      <c r="M74" s="91"/>
    </row>
    <row r="75" spans="1:13" ht="12.75">
      <c r="A75" s="78"/>
      <c r="B75" s="77">
        <f>C75-1</f>
        <v>1998</v>
      </c>
      <c r="C75" s="77">
        <f>Assumptions!B7</f>
        <v>1999</v>
      </c>
      <c r="D75" s="77">
        <f>C75+1</f>
        <v>2000</v>
      </c>
      <c r="E75" s="77">
        <f aca="true" t="shared" si="18" ref="E75:L75">D75+1</f>
        <v>2001</v>
      </c>
      <c r="F75" s="77">
        <f t="shared" si="18"/>
        <v>2002</v>
      </c>
      <c r="G75" s="77">
        <f t="shared" si="18"/>
        <v>2003</v>
      </c>
      <c r="H75" s="77">
        <f t="shared" si="18"/>
        <v>2004</v>
      </c>
      <c r="I75" s="77">
        <f t="shared" si="18"/>
        <v>2005</v>
      </c>
      <c r="J75" s="77">
        <f t="shared" si="18"/>
        <v>2006</v>
      </c>
      <c r="K75" s="77">
        <f t="shared" si="18"/>
        <v>2007</v>
      </c>
      <c r="L75" s="77">
        <f t="shared" si="18"/>
        <v>2008</v>
      </c>
      <c r="M75" s="74"/>
    </row>
    <row r="76" spans="1:13" ht="12.75">
      <c r="A76" s="78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4"/>
    </row>
    <row r="77" spans="1:13" ht="12.75">
      <c r="A77" s="85" t="s">
        <v>119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74"/>
    </row>
    <row r="78" spans="1:13" ht="12.75">
      <c r="A78" s="81" t="s">
        <v>72</v>
      </c>
      <c r="B78" s="92" t="str">
        <f>IF(ISERR(Ratios!B31),"     ---",'P&amp;L'!B8/'P&amp;L'!B$13)</f>
        <v>     ---</v>
      </c>
      <c r="C78" s="93">
        <f>'P&amp;L'!C8/'P&amp;L'!C$13</f>
        <v>0.014636470185434647</v>
      </c>
      <c r="D78" s="93">
        <f>'P&amp;L'!D8/'P&amp;L'!D$13</f>
        <v>0.01532070672605857</v>
      </c>
      <c r="E78" s="93">
        <f>'P&amp;L'!E8/'P&amp;L'!E$13</f>
        <v>0.01421821102069259</v>
      </c>
      <c r="F78" s="93">
        <f>'P&amp;L'!F8/'P&amp;L'!F$13</f>
        <v>0.01512415935542959</v>
      </c>
      <c r="G78" s="93">
        <f>'P&amp;L'!G8/'P&amp;L'!G$13</f>
        <v>0.015464439782661975</v>
      </c>
      <c r="H78" s="93">
        <f>'P&amp;L'!H8/'P&amp;L'!H$13</f>
        <v>0.015920952955602148</v>
      </c>
      <c r="I78" s="93">
        <f>'P&amp;L'!I8/'P&amp;L'!I$13</f>
        <v>0.01656357944907423</v>
      </c>
      <c r="J78" s="93">
        <f>'P&amp;L'!J8/'P&amp;L'!J$13</f>
        <v>0.026085619697733375</v>
      </c>
      <c r="K78" s="93">
        <f>'P&amp;L'!K8/'P&amp;L'!K$13</f>
        <v>0.02707111493343519</v>
      </c>
      <c r="L78" s="93">
        <f>'P&amp;L'!L8/'P&amp;L'!L$13</f>
        <v>0.028068328912603635</v>
      </c>
      <c r="M78" s="74"/>
    </row>
    <row r="79" spans="1:13" ht="12.75">
      <c r="A79" s="81" t="s">
        <v>73</v>
      </c>
      <c r="B79" s="92" t="str">
        <f>IF(ISERR(Ratios!B31),"     ---",'P&amp;L'!B9/'P&amp;L'!B$13)</f>
        <v>     ---</v>
      </c>
      <c r="C79" s="93">
        <f>'P&amp;L'!C9/'P&amp;L'!C$13</f>
        <v>0.9853635298145653</v>
      </c>
      <c r="D79" s="93">
        <f>'P&amp;L'!D9/'P&amp;L'!D$13</f>
        <v>0.9846792932739414</v>
      </c>
      <c r="E79" s="93">
        <f>'P&amp;L'!E9/'P&amp;L'!E$13</f>
        <v>0.9857817889793073</v>
      </c>
      <c r="F79" s="93">
        <f>'P&amp;L'!F9/'P&amp;L'!F$13</f>
        <v>0.9848758406445705</v>
      </c>
      <c r="G79" s="93">
        <f>'P&amp;L'!G9/'P&amp;L'!G$13</f>
        <v>0.9845355602173379</v>
      </c>
      <c r="H79" s="93">
        <f>'P&amp;L'!H9/'P&amp;L'!H$13</f>
        <v>0.9840790470443977</v>
      </c>
      <c r="I79" s="93">
        <f>'P&amp;L'!I9/'P&amp;L'!I$13</f>
        <v>0.9834364205509258</v>
      </c>
      <c r="J79" s="93">
        <f>'P&amp;L'!J9/'P&amp;L'!J$13</f>
        <v>0.9739143803022667</v>
      </c>
      <c r="K79" s="93">
        <f>'P&amp;L'!K9/'P&amp;L'!K$13</f>
        <v>0.9729288850665648</v>
      </c>
      <c r="L79" s="93">
        <f>'P&amp;L'!L9/'P&amp;L'!L$13</f>
        <v>0.9719316710873963</v>
      </c>
      <c r="M79" s="74"/>
    </row>
    <row r="80" spans="1:13" ht="12.75">
      <c r="A80" s="75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74"/>
    </row>
    <row r="81" spans="1:13" ht="12.75">
      <c r="A81" s="75" t="s">
        <v>120</v>
      </c>
      <c r="B81" s="93">
        <f aca="true" t="shared" si="19" ref="B81:L81">SUM(B78:B79)</f>
        <v>0</v>
      </c>
      <c r="C81" s="93">
        <f t="shared" si="19"/>
        <v>1</v>
      </c>
      <c r="D81" s="93">
        <f t="shared" si="19"/>
        <v>1</v>
      </c>
      <c r="E81" s="93">
        <f t="shared" si="19"/>
        <v>0.9999999999999999</v>
      </c>
      <c r="F81" s="93">
        <f t="shared" si="19"/>
        <v>1</v>
      </c>
      <c r="G81" s="93">
        <f t="shared" si="19"/>
        <v>0.9999999999999999</v>
      </c>
      <c r="H81" s="93">
        <f t="shared" si="19"/>
        <v>0.9999999999999999</v>
      </c>
      <c r="I81" s="93">
        <f t="shared" si="19"/>
        <v>1</v>
      </c>
      <c r="J81" s="93">
        <f t="shared" si="19"/>
        <v>1</v>
      </c>
      <c r="K81" s="93">
        <f t="shared" si="19"/>
        <v>1</v>
      </c>
      <c r="L81" s="93">
        <f t="shared" si="19"/>
        <v>1</v>
      </c>
      <c r="M81" s="74"/>
    </row>
    <row r="82" spans="1:13" ht="12.75">
      <c r="A82" s="75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74"/>
    </row>
    <row r="83" spans="1:13" ht="12.75">
      <c r="A83" s="79" t="s">
        <v>121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74"/>
    </row>
    <row r="84" spans="1:13" ht="12.75">
      <c r="A84" s="75" t="s">
        <v>86</v>
      </c>
      <c r="B84" s="94" t="str">
        <f>IF(ISERR(Ratios!B$31),"     ---",#REF!/'P&amp;L'!B$13)</f>
        <v>     ---</v>
      </c>
      <c r="C84" s="95">
        <f>IF(ISERR(Ratios!C$31),"      ---",'P&amp;L'!C27/'P&amp;L'!C$13)</f>
        <v>0.0007640815364176625</v>
      </c>
      <c r="D84" s="95">
        <f>IF(ISERR(Ratios!D$31),"      ---",'P&amp;L'!D27/'P&amp;L'!D$13)</f>
        <v>0.0010105847195424865</v>
      </c>
      <c r="E84" s="95">
        <f>IF(ISERR(Ratios!E$31),"      ---",'P&amp;L'!E27/'P&amp;L'!E$13)</f>
        <v>7.173685193711742E-05</v>
      </c>
      <c r="F84" s="95">
        <f>IF(ISERR(Ratios!F$31),"      ---",'P&amp;L'!F27/'P&amp;L'!F$13)</f>
        <v>7.849886123683394E-05</v>
      </c>
      <c r="G84" s="95">
        <f>IF(ISERR(Ratios!G$31),"      ---",'P&amp;L'!G27/'P&amp;L'!G$13)</f>
        <v>8.577844213076892E-05</v>
      </c>
      <c r="H84" s="95">
        <f>IF(ISERR(Ratios!H$31),"      ---",'P&amp;L'!H27/'P&amp;L'!H$13)</f>
        <v>6.260741505343249E-05</v>
      </c>
      <c r="I84" s="95">
        <f>IF(ISERR(Ratios!I$31),"      ---",'P&amp;L'!I27/'P&amp;L'!I$13)</f>
        <v>6.839290792025019E-05</v>
      </c>
      <c r="J84" s="95">
        <f>IF(ISERR(Ratios!J$31),"      ---",'P&amp;L'!J27/'P&amp;L'!J$13)</f>
        <v>0.000107157603736146</v>
      </c>
      <c r="K84" s="95">
        <f>IF(ISERR(Ratios!K$31),"      ---",'P&amp;L'!K27/'P&amp;L'!K$13)</f>
        <v>0.00010908612922420933</v>
      </c>
      <c r="L84" s="95">
        <f>IF(ISERR(Ratios!L$31),"      ---",'P&amp;L'!L27/'P&amp;L'!L$13)</f>
        <v>0.00011082866454904546</v>
      </c>
      <c r="M84" s="74"/>
    </row>
    <row r="85" spans="1:13" ht="12.75">
      <c r="A85" s="75" t="s">
        <v>84</v>
      </c>
      <c r="B85" s="94" t="str">
        <f>IF(ISERR(Ratios!B$31),"     ---",'P&amp;L'!B25/'P&amp;L'!B$13)</f>
        <v>     ---</v>
      </c>
      <c r="C85" s="95">
        <f>IF(ISERR(Ratios!C$31),"     ---",'P&amp;L'!C25/'P&amp;L'!C$13)</f>
        <v>0.000424489742454257</v>
      </c>
      <c r="D85" s="95">
        <f>IF(ISERR(Ratios!D$31),"     ---",'P&amp;L'!D25/'P&amp;L'!D$13)</f>
        <v>0.00012996202669013457</v>
      </c>
      <c r="E85" s="95">
        <f>IF(ISERR(Ratios!E$31),"     ---",'P&amp;L'!E25/'P&amp;L'!E$13)</f>
        <v>8.540101421085407E-06</v>
      </c>
      <c r="F85" s="95">
        <f>IF(ISERR(Ratios!F$31),"     ---",'P&amp;L'!F25/'P&amp;L'!F$13)</f>
        <v>8.65287271129122E-06</v>
      </c>
      <c r="G85" s="95">
        <f>IF(ISERR(Ratios!G$31),"     ---",'P&amp;L'!G25/'P&amp;L'!G$13)</f>
        <v>8.7600533221782E-06</v>
      </c>
      <c r="H85" s="95">
        <f>IF(ISERR(Ratios!H$31),"     ---",'P&amp;L'!H25/'P&amp;L'!H$13)</f>
        <v>5.915288648283494E-06</v>
      </c>
      <c r="I85" s="95">
        <f>IF(ISERR(Ratios!I$31),"     ---",'P&amp;L'!I25/'P&amp;L'!I$13)</f>
        <v>5.9867741526829655E-06</v>
      </c>
      <c r="J85" s="95">
        <f>IF(ISERR(Ratios!J$31),"     ---",'P&amp;L'!J25/'P&amp;L'!J$13)</f>
        <v>8.686576178351654E-06</v>
      </c>
      <c r="K85" s="95">
        <f>IF(ISERR(Ratios!K$31),"     ---",'P&amp;L'!K25/'P&amp;L'!K$13)</f>
        <v>8.189649341156856E-06</v>
      </c>
      <c r="L85" s="95">
        <f>IF(ISERR(Ratios!L$31),"     ---",'P&amp;L'!L25/'P&amp;L'!L$13)</f>
        <v>7.709283844535717E-06</v>
      </c>
      <c r="M85" s="74"/>
    </row>
    <row r="86" spans="1:13" ht="12.75">
      <c r="A86" s="75" t="s">
        <v>87</v>
      </c>
      <c r="B86" s="94" t="str">
        <f>IF(ISERR(Ratios!B$31),"     ---",#REF!/'P&amp;L'!B$13)</f>
        <v>     ---</v>
      </c>
      <c r="C86" s="95">
        <f>IF(ISERR(Ratios!C$31),"      ---",'P&amp;L'!C28/'P&amp;L'!C$13)</f>
        <v>5.7306115231324685E-06</v>
      </c>
      <c r="D86" s="95">
        <f>IF(ISERR(Ratios!D$31),"      ---",'P&amp;L'!D28/'P&amp;L'!D$13)</f>
        <v>7.579385396568648E-06</v>
      </c>
      <c r="E86" s="95">
        <f>IF(ISERR(Ratios!E$31),"      ---",'P&amp;L'!E28/'P&amp;L'!E$13)</f>
        <v>5.380263895283805E-07</v>
      </c>
      <c r="F86" s="95">
        <f>IF(ISERR(Ratios!F$31),"      ---",'P&amp;L'!F28/'P&amp;L'!F$13)</f>
        <v>5.887414592762545E-07</v>
      </c>
      <c r="G86" s="95">
        <f>IF(ISERR(Ratios!G$31),"      ---",'P&amp;L'!G28/'P&amp;L'!G$13)</f>
        <v>6.433383159807669E-07</v>
      </c>
      <c r="H86" s="95">
        <f>IF(ISERR(Ratios!H$31),"      ---",'P&amp;L'!H28/'P&amp;L'!H$13)</f>
        <v>4.6955561290074367E-07</v>
      </c>
      <c r="I86" s="95">
        <f>IF(ISERR(Ratios!I$31),"      ---",'P&amp;L'!I28/'P&amp;L'!I$13)</f>
        <v>5.129468094018764E-07</v>
      </c>
      <c r="J86" s="95">
        <f>IF(ISERR(Ratios!J$31),"      ---",'P&amp;L'!J28/'P&amp;L'!J$13)</f>
        <v>8.03682028021095E-07</v>
      </c>
      <c r="K86" s="95">
        <f>IF(ISERR(Ratios!K$31),"      ---",'P&amp;L'!K28/'P&amp;L'!K$13)</f>
        <v>8.1814596918157E-07</v>
      </c>
      <c r="L86" s="95">
        <f>IF(ISERR(Ratios!L$31),"      ---",'P&amp;L'!L28/'P&amp;L'!L$13)</f>
        <v>8.312149841178409E-07</v>
      </c>
      <c r="M86" s="74"/>
    </row>
    <row r="87" spans="1:13" ht="12.75">
      <c r="A87" s="75" t="s">
        <v>122</v>
      </c>
      <c r="B87" s="94" t="str">
        <f>IF(ISERR(Ratios!B$31),"     ---",'P&amp;L'!B24/'P&amp;L'!B$13)</f>
        <v>     ---</v>
      </c>
      <c r="C87" s="95">
        <f>IF(ISERR(Ratios!C$31),"     ---",'P&amp;L'!C24/'P&amp;L'!C$13)</f>
        <v>0.0007276967013501547</v>
      </c>
      <c r="D87" s="95">
        <f>IF(ISERR(Ratios!D$31),"     ---",'P&amp;L'!D24/'P&amp;L'!D$13)</f>
        <v>0.0007624438899154561</v>
      </c>
      <c r="E87" s="95">
        <f>IF(ISERR(Ratios!E$31),"     ---",'P&amp;L'!E24/'P&amp;L'!E$13)</f>
        <v>0.0008266818175610674</v>
      </c>
      <c r="F87" s="95">
        <f>IF(ISERR(Ratios!F$31),"     ---",'P&amp;L'!F24/'P&amp;L'!F$13)</f>
        <v>0.000921357886298289</v>
      </c>
      <c r="G87" s="95">
        <f>IF(ISERR(Ratios!G$31),"     ---",'P&amp;L'!G24/'P&amp;L'!G$13)</f>
        <v>0.001026047525520088</v>
      </c>
      <c r="H87" s="95">
        <f>IF(ISERR(Ratios!H$31),"     ---",'P&amp;L'!H24/'P&amp;L'!H$13)</f>
        <v>0.0011431886841672678</v>
      </c>
      <c r="I87" s="95">
        <f>IF(ISERR(Ratios!I$31),"     ---",'P&amp;L'!I24/'P&amp;L'!I$13)</f>
        <v>0.001272740290667177</v>
      </c>
      <c r="J87" s="95">
        <f>IF(ISERR(Ratios!J$31),"     ---",'P&amp;L'!J24/'P&amp;L'!J$13)</f>
        <v>0.0013542719725097364</v>
      </c>
      <c r="K87" s="95">
        <f>IF(ISERR(Ratios!K$31),"     ---",'P&amp;L'!K24/'P&amp;L'!K$13)</f>
        <v>0.001404492103411036</v>
      </c>
      <c r="L87" s="95">
        <f>IF(ISERR(Ratios!L$31),"     ---",'P&amp;L'!L24/'P&amp;L'!L$13)</f>
        <v>0.001454340978703974</v>
      </c>
      <c r="M87" s="74"/>
    </row>
    <row r="88" spans="1:13" ht="12.75">
      <c r="A88" s="75" t="s">
        <v>89</v>
      </c>
      <c r="B88" s="94" t="str">
        <f>IF(ISERR(Ratios!B$31),"     ---",'P&amp;L'!B29/'P&amp;L'!B$13)</f>
        <v>     ---</v>
      </c>
      <c r="C88" s="95">
        <f>IF(ISERR(Ratios!C$31),"     ---",'P&amp;L'!C29/'P&amp;L'!C$13)</f>
        <v>1.5766761862586684E-05</v>
      </c>
      <c r="D88" s="95">
        <f>IF(ISERR(Ratios!D$31),"     ---",'P&amp;L'!D29/'P&amp;L'!D$13)</f>
        <v>1.5017834195304439E-05</v>
      </c>
      <c r="E88" s="95">
        <f>IF(ISERR(Ratios!E$31),"     ---",'P&amp;L'!E29/'P&amp;L'!E$13)</f>
        <v>1.4802842463214704E-05</v>
      </c>
      <c r="F88" s="95">
        <f>IF(ISERR(Ratios!F$31),"     ---",'P&amp;L'!F29/'P&amp;L'!F$13)</f>
        <v>1.4998312699571444E-05</v>
      </c>
      <c r="G88" s="95">
        <f>IF(ISERR(Ratios!G$31),"     ---",'P&amp;L'!G29/'P&amp;L'!G$13)</f>
        <v>1.5184092425108878E-05</v>
      </c>
      <c r="H88" s="95">
        <f>IF(ISERR(Ratios!H$31),"     ---",'P&amp;L'!H29/'P&amp;L'!H$13)</f>
        <v>1.537975048553708E-05</v>
      </c>
      <c r="I88" s="95">
        <f>IF(ISERR(Ratios!I$31),"     ---",'P&amp;L'!I29/'P&amp;L'!I$13)</f>
        <v>1.5565612796975707E-05</v>
      </c>
      <c r="J88" s="95">
        <f>IF(ISERR(Ratios!J$31),"     ---",'P&amp;L'!J29/'P&amp;L'!J$13)</f>
        <v>1.50567320424762E-05</v>
      </c>
      <c r="K88" s="95">
        <f>IF(ISERR(Ratios!K$31),"     ---",'P&amp;L'!K29/'P&amp;L'!K$13)</f>
        <v>1.419539219133855E-05</v>
      </c>
      <c r="L88" s="95">
        <f>IF(ISERR(Ratios!L$31),"     ---",'P&amp;L'!L29/'P&amp;L'!L$13)</f>
        <v>1.3362758663861908E-05</v>
      </c>
      <c r="M88" s="74"/>
    </row>
    <row r="89" spans="1:13" ht="12.75">
      <c r="A89" s="75" t="s">
        <v>80</v>
      </c>
      <c r="B89" s="94" t="str">
        <f>IF(ISERR(Ratios!B$31),"     ---",'P&amp;L'!B21/'P&amp;L'!B$13)</f>
        <v>     ---</v>
      </c>
      <c r="C89" s="95">
        <f>IF(ISERR(Ratios!C$31),"     ---",'P&amp;L'!C21/'P&amp;L'!C$13)</f>
        <v>0.04</v>
      </c>
      <c r="D89" s="95">
        <f>IF(ISERR(Ratios!D$31),"     ---",'P&amp;L'!D21/'P&amp;L'!D$13)</f>
        <v>0.04</v>
      </c>
      <c r="E89" s="95">
        <f>IF(ISERR(Ratios!E$31),"     ---",'P&amp;L'!E21/'P&amp;L'!E$13)</f>
        <v>0.04</v>
      </c>
      <c r="F89" s="95">
        <f>IF(ISERR(Ratios!F$31),"     ---",'P&amp;L'!F21/'P&amp;L'!F$13)</f>
        <v>0.04</v>
      </c>
      <c r="G89" s="95">
        <f>IF(ISERR(Ratios!G$31),"     ---",'P&amp;L'!G21/'P&amp;L'!G$13)</f>
        <v>0.04</v>
      </c>
      <c r="H89" s="95">
        <f>IF(ISERR(Ratios!H$31),"     ---",'P&amp;L'!H21/'P&amp;L'!H$13)</f>
        <v>0.04</v>
      </c>
      <c r="I89" s="95">
        <f>IF(ISERR(Ratios!I$31),"     ---",'P&amp;L'!I21/'P&amp;L'!I$13)</f>
        <v>0.04</v>
      </c>
      <c r="J89" s="95">
        <f>IF(ISERR(Ratios!J$31),"     ---",'P&amp;L'!J21/'P&amp;L'!J$13)</f>
        <v>0.04</v>
      </c>
      <c r="K89" s="95">
        <f>IF(ISERR(Ratios!K$31),"     ---",'P&amp;L'!K21/'P&amp;L'!K$13)</f>
        <v>0.04</v>
      </c>
      <c r="L89" s="95">
        <f>IF(ISERR(Ratios!L$31),"     ---",'P&amp;L'!L21/'P&amp;L'!L$13)</f>
        <v>0.04</v>
      </c>
      <c r="M89" s="74"/>
    </row>
    <row r="90" spans="1:13" ht="12.75">
      <c r="A90" s="75" t="s">
        <v>81</v>
      </c>
      <c r="B90" s="94" t="str">
        <f>IF(ISERR(Ratios!B$31),"     ---",'P&amp;L'!B22/'P&amp;L'!B$13)</f>
        <v>     ---</v>
      </c>
      <c r="C90" s="95">
        <f>IF(ISERR(Ratios!C$31),"     ---",'P&amp;L'!C22/'P&amp;L'!C$13)</f>
        <v>0</v>
      </c>
      <c r="D90" s="95">
        <f>IF(ISERR(Ratios!D$31),"     ---",'P&amp;L'!D22/'P&amp;L'!D$13)</f>
        <v>0</v>
      </c>
      <c r="E90" s="95">
        <f>IF(ISERR(Ratios!E$31),"     ---",'P&amp;L'!E22/'P&amp;L'!E$13)</f>
        <v>0</v>
      </c>
      <c r="F90" s="95">
        <f>IF(ISERR(Ratios!F$31),"     ---",'P&amp;L'!F22/'P&amp;L'!F$13)</f>
        <v>0</v>
      </c>
      <c r="G90" s="95">
        <f>IF(ISERR(Ratios!G$31),"     ---",'P&amp;L'!G22/'P&amp;L'!G$13)</f>
        <v>0</v>
      </c>
      <c r="H90" s="95">
        <f>IF(ISERR(Ratios!H$31),"     ---",'P&amp;L'!H22/'P&amp;L'!H$13)</f>
        <v>0</v>
      </c>
      <c r="I90" s="95">
        <f>IF(ISERR(Ratios!I$31),"     ---",'P&amp;L'!I22/'P&amp;L'!I$13)</f>
        <v>0</v>
      </c>
      <c r="J90" s="95">
        <f>IF(ISERR(Ratios!J$31),"     ---",'P&amp;L'!J22/'P&amp;L'!J$13)</f>
        <v>0</v>
      </c>
      <c r="K90" s="95">
        <f>IF(ISERR(Ratios!K$31),"     ---",'P&amp;L'!K22/'P&amp;L'!K$13)</f>
        <v>0</v>
      </c>
      <c r="L90" s="95">
        <f>IF(ISERR(Ratios!L$31),"     ---",'P&amp;L'!L22/'P&amp;L'!L$13)</f>
        <v>0</v>
      </c>
      <c r="M90" s="74"/>
    </row>
    <row r="91" spans="1:13" ht="12.75">
      <c r="A91" s="75" t="s">
        <v>82</v>
      </c>
      <c r="B91" s="94" t="str">
        <f>IF(ISERR(Ratios!B$31),"     ---",'P&amp;L'!B23/'P&amp;L'!B$13)</f>
        <v>     ---</v>
      </c>
      <c r="C91" s="95">
        <f>IF(ISERR(Ratios!C$31),"     ---",'P&amp;L'!C23/'P&amp;L'!C$13)</f>
        <v>1.4636470185434646E-05</v>
      </c>
      <c r="D91" s="95">
        <f>IF(ISERR(Ratios!D$31),"     ---",'P&amp;L'!D23/'P&amp;L'!D$13)</f>
        <v>1.5320706726058574E-05</v>
      </c>
      <c r="E91" s="95">
        <f>IF(ISERR(Ratios!E$31),"     ---",'P&amp;L'!E23/'P&amp;L'!E$13)</f>
        <v>1.4218211020692589E-05</v>
      </c>
      <c r="F91" s="95">
        <f>IF(ISERR(Ratios!F$31),"     ---",'P&amp;L'!F23/'P&amp;L'!F$13)</f>
        <v>1.5124159355429591E-05</v>
      </c>
      <c r="G91" s="95">
        <f>IF(ISERR(Ratios!G$31),"     ---",'P&amp;L'!G23/'P&amp;L'!G$13)</f>
        <v>1.8557327739194367E-05</v>
      </c>
      <c r="H91" s="95">
        <f>IF(ISERR(Ratios!H$31),"     ---",'P&amp;L'!H23/'P&amp;L'!H$13)</f>
        <v>1.9105143546722578E-05</v>
      </c>
      <c r="I91" s="95">
        <f>IF(ISERR(Ratios!I$31),"     ---",'P&amp;L'!I23/'P&amp;L'!I$13)</f>
        <v>1.9876295338889078E-05</v>
      </c>
      <c r="J91" s="95">
        <f>IF(ISERR(Ratios!J$31),"     ---",'P&amp;L'!J23/'P&amp;L'!J$13)</f>
        <v>3.130274363728005E-05</v>
      </c>
      <c r="K91" s="95">
        <f>IF(ISERR(Ratios!K$31),"     ---",'P&amp;L'!K23/'P&amp;L'!K$13)</f>
        <v>3.248533792012223E-05</v>
      </c>
      <c r="L91" s="95">
        <f>IF(ISERR(Ratios!L$31),"     ---",'P&amp;L'!L23/'P&amp;L'!L$13)</f>
        <v>3.368199469512437E-05</v>
      </c>
      <c r="M91" s="74"/>
    </row>
    <row r="92" spans="1:13" ht="12.75">
      <c r="A92" s="75" t="s">
        <v>123</v>
      </c>
      <c r="B92" s="94" t="str">
        <f>IF(ISERR(Ratios!B$31),"     ---",'P&amp;L'!B26/'P&amp;L'!B$13)</f>
        <v>     ---</v>
      </c>
      <c r="C92" s="95">
        <f>IF(ISERR(Ratios!C$31),"     ---",'P&amp;L'!C26/'P&amp;L'!C$13)</f>
        <v>1.5921888217124626E-05</v>
      </c>
      <c r="D92" s="95">
        <f>IF(ISERR(Ratios!D$31),"     ---",'P&amp;L'!D26/'P&amp;L'!D$13)</f>
        <v>1.6514171961604856E-05</v>
      </c>
      <c r="E92" s="95">
        <f>IF(ISERR(Ratios!E$31),"     ---",'P&amp;L'!E26/'P&amp;L'!E$13)</f>
        <v>1.7150492572365705E-05</v>
      </c>
      <c r="F92" s="95">
        <f>IF(ISERR(Ratios!F$31),"     ---",'P&amp;L'!F26/'P&amp;L'!F$13)</f>
        <v>1.7765435673849685E-05</v>
      </c>
      <c r="G92" s="95">
        <f>IF(ISERR(Ratios!G$31),"     ---",'P&amp;L'!G26/'P&amp;L'!G$13)</f>
        <v>1.84028093638791E-05</v>
      </c>
      <c r="H92" s="95">
        <f>IF(ISERR(Ratios!H$31),"     ---",'P&amp;L'!H26/'P&amp;L'!H$13)</f>
        <v>1.905004439310692E-05</v>
      </c>
      <c r="I92" s="95">
        <f>IF(ISERR(Ratios!I$31),"     ---",'P&amp;L'!I26/'P&amp;L'!I$13)</f>
        <v>1.9704974887631278E-05</v>
      </c>
      <c r="J92" s="95">
        <f>IF(ISERR(Ratios!J$31),"     ---",'P&amp;L'!J26/'P&amp;L'!J$13)</f>
        <v>2.0186444606954232E-05</v>
      </c>
      <c r="K92" s="95">
        <f>IF(ISERR(Ratios!K$31),"     ---",'P&amp;L'!K26/'P&amp;L'!K$13)</f>
        <v>2.084832967091167E-05</v>
      </c>
      <c r="L92" s="95">
        <f>IF(ISERR(Ratios!L$31),"     ---",'P&amp;L'!L26/'P&amp;L'!L$13)</f>
        <v>2.1518634028524594E-05</v>
      </c>
      <c r="M92" s="74"/>
    </row>
    <row r="93" spans="1:13" ht="12.75">
      <c r="A93" s="75" t="s">
        <v>90</v>
      </c>
      <c r="B93" s="94" t="str">
        <f>IF(ISERR(Ratios!B$31),"     ---",'P&amp;L'!B30/'P&amp;L'!B$13)</f>
        <v>     ---</v>
      </c>
      <c r="C93" s="95">
        <f>IF(ISERR(Ratios!C$31),"     ---",'P&amp;L'!C30/'P&amp;L'!C$13)</f>
        <v>0.030320695889589782</v>
      </c>
      <c r="D93" s="95">
        <f>IF(ISERR(Ratios!D$31),"     ---",'P&amp;L'!D30/'P&amp;L'!D$13)</f>
        <v>0.06255216746848055</v>
      </c>
      <c r="E93" s="95">
        <f>IF(ISERR(Ratios!E$31),"     ---",'P&amp;L'!E30/'P&amp;L'!E$13)</f>
        <v>0.09788351111795987</v>
      </c>
      <c r="F93" s="95">
        <f>IF(ISERR(Ratios!F$31),"     ---",'P&amp;L'!F30/'P&amp;L'!F$13)</f>
        <v>0.12143842479461721</v>
      </c>
      <c r="G93" s="95">
        <f>IF(ISERR(Ratios!G$31),"     ---",'P&amp;L'!G30/'P&amp;L'!G$13)</f>
        <v>0.14364656305226134</v>
      </c>
      <c r="H93" s="95">
        <f>IF(ISERR(Ratios!H$31),"     ---",'P&amp;L'!H30/'P&amp;L'!H$13)</f>
        <v>0.16998499362535527</v>
      </c>
      <c r="I93" s="95">
        <f>IF(ISERR(Ratios!I$31),"     ---",'P&amp;L'!I30/'P&amp;L'!I$13)</f>
        <v>0.1978641192910523</v>
      </c>
      <c r="J93" s="95">
        <f>IF(ISERR(Ratios!J$31),"     ---",'P&amp;L'!J30/'P&amp;L'!J$13)</f>
        <v>0.22026392916783516</v>
      </c>
      <c r="K93" s="95">
        <f>IF(ISERR(Ratios!K$31),"     ---",'P&amp;L'!K30/'P&amp;L'!K$13)</f>
        <v>0.2664297634482427</v>
      </c>
      <c r="L93" s="95">
        <f>IF(ISERR(Ratios!L$31),"     ---",'P&amp;L'!L30/'P&amp;L'!L$13)</f>
        <v>0.31535403374787724</v>
      </c>
      <c r="M93" s="74"/>
    </row>
    <row r="94" spans="1:13" ht="12.75">
      <c r="A94" s="75" t="s">
        <v>91</v>
      </c>
      <c r="B94" s="94" t="str">
        <f>IF(ISERR(Ratios!B$31),"     ---",'P&amp;L'!B31/'P&amp;L'!B$13)</f>
        <v>     ---</v>
      </c>
      <c r="C94" s="95">
        <f>IF(ISERR(Ratios!C$31),"     ---",'P&amp;L'!C31/'P&amp;L'!C$13)</f>
        <v>0.009096208766876935</v>
      </c>
      <c r="D94" s="95">
        <f>IF(ISERR(Ratios!D$31),"     ---",'P&amp;L'!D31/'P&amp;L'!D$13)</f>
        <v>0.018765650240544163</v>
      </c>
      <c r="E94" s="95">
        <f>IF(ISERR(Ratios!E$31),"     ---",'P&amp;L'!E31/'P&amp;L'!E$13)</f>
        <v>0.029365053335387956</v>
      </c>
      <c r="F94" s="95">
        <f>IF(ISERR(Ratios!F$31),"     ---",'P&amp;L'!F31/'P&amp;L'!F$13)</f>
        <v>0.03643152743838516</v>
      </c>
      <c r="G94" s="95">
        <f>IF(ISERR(Ratios!G$31),"     ---",'P&amp;L'!G31/'P&amp;L'!G$13)</f>
        <v>0.043093968915678404</v>
      </c>
      <c r="H94" s="95">
        <f>IF(ISERR(Ratios!H$31),"     ---",'P&amp;L'!H31/'P&amp;L'!H$13)</f>
        <v>0.050995498087606575</v>
      </c>
      <c r="I94" s="95">
        <f>IF(ISERR(Ratios!I$31),"     ---",'P&amp;L'!I31/'P&amp;L'!I$13)</f>
        <v>0.059359235787315695</v>
      </c>
      <c r="J94" s="95">
        <f>IF(ISERR(Ratios!J$31),"     ---",'P&amp;L'!J31/'P&amp;L'!J$13)</f>
        <v>0.06607917875035055</v>
      </c>
      <c r="K94" s="95">
        <f>IF(ISERR(Ratios!K$31),"     ---",'P&amp;L'!K31/'P&amp;L'!K$13)</f>
        <v>0.07992892903447281</v>
      </c>
      <c r="L94" s="95">
        <f>IF(ISERR(Ratios!L$31),"     ---",'P&amp;L'!L31/'P&amp;L'!L$13)</f>
        <v>0.09460621012436317</v>
      </c>
      <c r="M94" s="74"/>
    </row>
    <row r="95" spans="1:13" ht="12.75">
      <c r="A95" s="81" t="s">
        <v>78</v>
      </c>
      <c r="B95" s="92" t="str">
        <f>IF(ISERR(Ratios!B$31),"     ---",'P&amp;L'!B19/'P&amp;L'!B$13)</f>
        <v>     ---</v>
      </c>
      <c r="C95" s="93">
        <f>IF(ISERR(Ratios!C$31),"     ---",'P&amp;L'!C19/'P&amp;L'!C$13)</f>
        <v>3.464655524551321E-05</v>
      </c>
      <c r="D95" s="93">
        <f>IF(ISERR(Ratios!D$31),"     ---",'P&amp;L'!D19/'P&amp;L'!D$13)</f>
        <v>3.413861504547901E-05</v>
      </c>
      <c r="E95" s="93">
        <f>IF(ISERR(Ratios!E$31),"     ---",'P&amp;L'!E19/'P&amp;L'!E$13)</f>
        <v>3.368133515099167E-05</v>
      </c>
      <c r="F95" s="93">
        <f>IF(ISERR(Ratios!F$31),"     ---",'P&amp;L'!F19/'P&amp;L'!F$13)</f>
        <v>3.314455319484675E-05</v>
      </c>
      <c r="G95" s="93">
        <f>IF(ISERR(Ratios!G$31),"     ---",'P&amp;L'!G19/'P&amp;L'!G$13)</f>
        <v>3.2617001904089174E-05</v>
      </c>
      <c r="H95" s="93">
        <f>IF(ISERR(Ratios!H$31),"     ---",'P&amp;L'!H19/'P&amp;L'!H$13)</f>
        <v>3.207594861518351E-05</v>
      </c>
      <c r="I95" s="93">
        <f>IF(ISERR(Ratios!I$31),"     ---",'P&amp;L'!I19/'P&amp;L'!I$13)</f>
        <v>3.1519767695578366E-05</v>
      </c>
      <c r="J95" s="93">
        <f>IF(ISERR(Ratios!J$31),"     ---",'P&amp;L'!J19/'P&amp;L'!J$13)</f>
        <v>3.067542312676232E-05</v>
      </c>
      <c r="K95" s="93">
        <f>IF(ISERR(Ratios!K$31),"     ---",'P&amp;L'!K19/'P&amp;L'!K$13)</f>
        <v>3.0097165660617314E-05</v>
      </c>
      <c r="L95" s="93">
        <f>IF(ISERR(Ratios!L$31),"     ---",'P&amp;L'!L19/'P&amp;L'!L$13)</f>
        <v>2.9511591969298598E-05</v>
      </c>
      <c r="M95" s="74"/>
    </row>
    <row r="96" spans="1:13" ht="12.75">
      <c r="A96" s="75" t="s">
        <v>92</v>
      </c>
      <c r="B96" s="92" t="str">
        <f>IF(ISERR(Ratios!B$31),"     ---",'P&amp;L'!B39/'P&amp;L'!B$13)</f>
        <v>     ---</v>
      </c>
      <c r="C96" s="92">
        <f>IF(ISERR(Ratios!C$31),"     ---",'P&amp;L'!C39/'P&amp;L'!C$13)</f>
        <v>0.06856592222632306</v>
      </c>
      <c r="D96" s="92">
        <f>IF(ISERR(Ratios!D$31),"     ---",'P&amp;L'!D39/'P&amp;L'!D$13)</f>
        <v>0.11561236234316241</v>
      </c>
      <c r="E96" s="92">
        <f>IF(ISERR(Ratios!E$31),"     ---",'P&amp;L'!E39/'P&amp;L'!E$13)</f>
        <v>0.15552803669652204</v>
      </c>
      <c r="F96" s="92">
        <f>IF(ISERR(Ratios!F$31),"     ---",'P&amp;L'!F39/'P&amp;L'!F$13)</f>
        <v>0.1880910356225255</v>
      </c>
      <c r="G96" s="92">
        <f>IF(ISERR(Ratios!G$31),"     ---",'P&amp;L'!G39/'P&amp;L'!G$13)</f>
        <v>0.2224778872361346</v>
      </c>
      <c r="H96" s="92">
        <f>IF(ISERR(Ratios!H$31),"     ---",'P&amp;L'!H39/'P&amp;L'!H$13)</f>
        <v>0.2610617873334102</v>
      </c>
      <c r="I96" s="92">
        <f>IF(ISERR(Ratios!I$31),"     ---",'P&amp;L'!I39/'P&amp;L'!I$13)</f>
        <v>0.2825989716602159</v>
      </c>
      <c r="J96" s="92">
        <f>IF(ISERR(Ratios!J$31),"     ---",'P&amp;L'!J39/'P&amp;L'!J$13)</f>
        <v>0.29370751879275747</v>
      </c>
      <c r="K96" s="92">
        <f>IF(ISERR(Ratios!K$31),"     ---",'P&amp;L'!K39/'P&amp;L'!K$13)</f>
        <v>0.3203144368793423</v>
      </c>
      <c r="L96" s="92">
        <f>IF(ISERR(Ratios!L$31),"     ---",'P&amp;L'!L39/'P&amp;L'!L$13)</f>
        <v>0.3662954834865248</v>
      </c>
      <c r="M96" s="74"/>
    </row>
    <row r="97" spans="1:13" ht="12.75">
      <c r="A97" s="75" t="s">
        <v>93</v>
      </c>
      <c r="B97" s="92" t="str">
        <f>IF(ISERR(Ratios!B$31),"     ---",'P&amp;L'!B34/'P&amp;L'!B$13)</f>
        <v>     ---</v>
      </c>
      <c r="C97" s="93">
        <f>IF(ISERR(Ratios!C$31),"     ---",'P&amp;L'!C34/'P&amp;L'!C$13)</f>
        <v>0.00818974124256176</v>
      </c>
      <c r="D97" s="93">
        <f>IF(ISERR(Ratios!D$31),"     ---",'P&amp;L'!D34/'P&amp;L'!D$13)</f>
        <v>0.01655537161239986</v>
      </c>
      <c r="E97" s="93">
        <f>IF(ISERR(Ratios!E$31),"     ---",'P&amp;L'!E34/'P&amp;L'!E$13)</f>
        <v>0.025737343506531722</v>
      </c>
      <c r="F97" s="93">
        <f>IF(ISERR(Ratios!F$31),"     ---",'P&amp;L'!F34/'P&amp;L'!F$13)</f>
        <v>0.03186541919951676</v>
      </c>
      <c r="G97" s="93">
        <f>IF(ISERR(Ratios!G$31),"     ---",'P&amp;L'!G34/'P&amp;L'!G$13)</f>
        <v>0.03764314498947891</v>
      </c>
      <c r="H97" s="93">
        <f>IF(ISERR(Ratios!H$31),"     ---",'P&amp;L'!H34/'P&amp;L'!H$13)</f>
        <v>0.044494938725103655</v>
      </c>
      <c r="I97" s="93">
        <f>IF(ISERR(Ratios!I$31),"     ---",'P&amp;L'!I34/'P&amp;L'!I$13)</f>
        <v>0.05174712284586715</v>
      </c>
      <c r="J97" s="93">
        <f>IF(ISERR(Ratios!J$31),"     ---",'P&amp;L'!J34/'P&amp;L'!J$13)</f>
        <v>0.05756118546932403</v>
      </c>
      <c r="K97" s="93">
        <f>IF(ISERR(Ratios!K$31),"     ---",'P&amp;L'!K34/'P&amp;L'!K$13)</f>
        <v>0.06954756588635327</v>
      </c>
      <c r="L97" s="93">
        <f>IF(ISERR(Ratios!L$31),"     ---",'P&amp;L'!L34/'P&amp;L'!L$13)</f>
        <v>0.08225169745433204</v>
      </c>
      <c r="M97" s="74"/>
    </row>
    <row r="98" spans="1:13" ht="12.75">
      <c r="A98" s="75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74"/>
    </row>
    <row r="99" spans="1:13" ht="12.75">
      <c r="A99" s="75" t="s">
        <v>120</v>
      </c>
      <c r="B99" s="93">
        <f aca="true" t="shared" si="20" ref="B99:L99">SUM(B84:B97)</f>
        <v>0</v>
      </c>
      <c r="C99" s="93">
        <f t="shared" si="20"/>
        <v>0.1581755383926074</v>
      </c>
      <c r="D99" s="93">
        <f t="shared" si="20"/>
        <v>0.25547711301406006</v>
      </c>
      <c r="E99" s="93">
        <f t="shared" si="20"/>
        <v>0.34950129433491767</v>
      </c>
      <c r="F99" s="93">
        <f t="shared" si="20"/>
        <v>0.41891653787767397</v>
      </c>
      <c r="G99" s="93">
        <f t="shared" si="20"/>
        <v>0.48806755478427455</v>
      </c>
      <c r="H99" s="93">
        <f t="shared" si="20"/>
        <v>0.5678350096019982</v>
      </c>
      <c r="I99" s="93">
        <f t="shared" si="20"/>
        <v>0.6330037491547197</v>
      </c>
      <c r="J99" s="93">
        <f t="shared" si="20"/>
        <v>0.6791799533581329</v>
      </c>
      <c r="K99" s="93">
        <f t="shared" si="20"/>
        <v>0.7778409075017997</v>
      </c>
      <c r="L99" s="93">
        <f t="shared" si="20"/>
        <v>0.9001792099345357</v>
      </c>
      <c r="M99" s="74"/>
    </row>
    <row r="100" spans="1:13" ht="12.75">
      <c r="A100" s="75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74"/>
    </row>
    <row r="101" spans="1:13" ht="12.75">
      <c r="A101" s="79" t="s">
        <v>124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74"/>
    </row>
    <row r="102" spans="1:13" ht="12.75">
      <c r="A102" s="81" t="s">
        <v>125</v>
      </c>
      <c r="B102" s="93" t="str">
        <f>IF(ISERR(Ratios!B$31),"     ---",'P&amp;L'!B46/'P&amp;L'!B13)</f>
        <v>     ---</v>
      </c>
      <c r="C102" s="93">
        <f>IF(ISERR(Ratios!C$31),"     ---",'P&amp;L'!C46/'P&amp;L'!C13)</f>
        <v>0.7892631990566435</v>
      </c>
      <c r="D102" s="93">
        <f>IF(ISERR(Ratios!D$31),"     ---",'P&amp;L'!D46/'P&amp;L'!D13)</f>
        <v>0.7033541207209059</v>
      </c>
      <c r="E102" s="93">
        <f>IF(ISERR(Ratios!E$31),"     ---",'P&amp;L'!E46/'P&amp;L'!E13)</f>
        <v>0.6235121899808662</v>
      </c>
      <c r="F102" s="93">
        <f>IF(ISERR(Ratios!F$31),"     ---",'P&amp;L'!F46/'P&amp;L'!F13)</f>
        <v>0.5789220583157855</v>
      </c>
      <c r="G102" s="93">
        <f>IF(ISERR(Ratios!G$31),"     ---",'P&amp;L'!G46/'P&amp;L'!G13)</f>
        <v>0.5361125898098364</v>
      </c>
      <c r="H102" s="93">
        <f>IF(ISERR(Ratios!H$31),"     ---",'P&amp;L'!H46/'P&amp;L'!H13)</f>
        <v>0.48087562686212204</v>
      </c>
      <c r="I102" s="93">
        <f>IF(ISERR(Ratios!I$31),"     ---",'P&amp;L'!I46/'P&amp;L'!I13)</f>
        <v>0.4397414065236022</v>
      </c>
      <c r="J102" s="93">
        <f>IF(ISERR(Ratios!J$31),"     ---",'P&amp;L'!J46/'P&amp;L'!J13)</f>
        <v>0.40859271636353955</v>
      </c>
      <c r="K102" s="93">
        <f>IF(ISERR(Ratios!K$31),"     ---",'P&amp;L'!K46/'P&amp;L'!K13)</f>
        <v>0.29812078888800225</v>
      </c>
      <c r="L102" s="93">
        <f>IF(ISERR(Ratios!L$31),"     ---",'P&amp;L'!L46/'P&amp;L'!L13)</f>
        <v>0.15758762173220167</v>
      </c>
      <c r="M102" s="74"/>
    </row>
    <row r="103" spans="1:13" ht="12.75">
      <c r="A103" s="75" t="s">
        <v>126</v>
      </c>
      <c r="B103" s="93">
        <f>'P&amp;L'!B66/'P&amp;L'!B46</f>
        <v>0</v>
      </c>
      <c r="C103" s="93">
        <f>'P&amp;L'!C66/'P&amp;L'!C46</f>
        <v>0.338738699258939</v>
      </c>
      <c r="D103" s="93">
        <f>'P&amp;L'!D66/'P&amp;L'!D46</f>
        <v>0.35</v>
      </c>
      <c r="E103" s="93">
        <f>'P&amp;L'!E66/'P&amp;L'!E46</f>
        <v>0.3499999999999999</v>
      </c>
      <c r="F103" s="93">
        <f>'P&amp;L'!F66/'P&amp;L'!F46</f>
        <v>0.35</v>
      </c>
      <c r="G103" s="93">
        <f>'P&amp;L'!G66/'P&amp;L'!G46</f>
        <v>0.35000000000000003</v>
      </c>
      <c r="H103" s="93">
        <f>'P&amp;L'!H66/'P&amp;L'!H46</f>
        <v>0.35</v>
      </c>
      <c r="I103" s="93">
        <f>'P&amp;L'!I66/'P&amp;L'!I46</f>
        <v>0.35</v>
      </c>
      <c r="J103" s="93">
        <f>'P&amp;L'!J66/'P&amp;L'!J46</f>
        <v>0.35</v>
      </c>
      <c r="K103" s="93">
        <f>'P&amp;L'!K66/'P&amp;L'!K46</f>
        <v>0.35</v>
      </c>
      <c r="L103" s="93">
        <f>'P&amp;L'!L66/'P&amp;L'!L46</f>
        <v>0.35</v>
      </c>
      <c r="M103" s="74"/>
    </row>
    <row r="104" spans="1:13" ht="12.75">
      <c r="A104" s="81" t="s">
        <v>127</v>
      </c>
      <c r="B104" s="93" t="str">
        <f>IF(ISERR(Ratios!B$31),"     ---",'P&amp;L'!B68/'P&amp;L'!B13)</f>
        <v>     ---</v>
      </c>
      <c r="C104" s="93">
        <f>IF(ISERR(Ratios!C$31),"     ---",'P&amp;L'!C68/'P&amp;L'!C13)</f>
        <v>0.521909209635247</v>
      </c>
      <c r="D104" s="93">
        <f>IF(ISERR(Ratios!D$31),"     ---",'P&amp;L'!D68/'P&amp;L'!D13)</f>
        <v>0.4571801784685888</v>
      </c>
      <c r="E104" s="93">
        <f>IF(ISERR(Ratios!E$31),"     ---",'P&amp;L'!E68/'P&amp;L'!E13)</f>
        <v>0.40528292348756306</v>
      </c>
      <c r="F104" s="93">
        <f>IF(ISERR(Ratios!F$31),"     ---",'P&amp;L'!F68/'P&amp;L'!F13)</f>
        <v>0.3762993379052606</v>
      </c>
      <c r="G104" s="93">
        <f>IF(ISERR(Ratios!G$31),"     ---",'P&amp;L'!G68/'P&amp;L'!G13)</f>
        <v>0.34847318337639366</v>
      </c>
      <c r="H104" s="93">
        <f>IF(ISERR(Ratios!H$31),"     ---",'P&amp;L'!H68/'P&amp;L'!H13)</f>
        <v>0.3125691574603794</v>
      </c>
      <c r="I104" s="93">
        <f>IF(ISERR(Ratios!I$31),"     ---",'P&amp;L'!I68/'P&amp;L'!I13)</f>
        <v>0.28583191424034143</v>
      </c>
      <c r="J104" s="93">
        <f>IF(ISERR(Ratios!J$31),"     ---",'P&amp;L'!J68/'P&amp;L'!J13)</f>
        <v>0.26558526563630075</v>
      </c>
      <c r="K104" s="93">
        <f>IF(ISERR(Ratios!K$31),"     ---",'P&amp;L'!K68/'P&amp;L'!K13)</f>
        <v>0.19377851277720148</v>
      </c>
      <c r="L104" s="93">
        <f>IF(ISERR(Ratios!L$31),"     ---",'P&amp;L'!L68/'P&amp;L'!L13)</f>
        <v>0.10243195412593109</v>
      </c>
      <c r="M104" s="74"/>
    </row>
    <row r="105" spans="1:13" ht="12.75">
      <c r="A105" s="75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74"/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  <rowBreaks count="1" manualBreakCount="1">
    <brk id="7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B59"/>
  <sheetViews>
    <sheetView workbookViewId="0" topLeftCell="A1">
      <selection activeCell="A2" sqref="A2:IV2"/>
    </sheetView>
  </sheetViews>
  <sheetFormatPr defaultColWidth="9.00390625" defaultRowHeight="12.75"/>
  <cols>
    <col min="1" max="1" width="21.375" style="0" customWidth="1"/>
    <col min="2" max="12" width="8.125" style="0" customWidth="1"/>
  </cols>
  <sheetData>
    <row r="1" ht="12.75">
      <c r="A1" s="141" t="s">
        <v>315</v>
      </c>
    </row>
    <row r="2" spans="1:28" ht="12.75">
      <c r="A2" s="72" t="s">
        <v>128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00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6" customHeight="1">
      <c r="A3" s="7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00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12.75">
      <c r="A4" s="76" t="s">
        <v>35</v>
      </c>
      <c r="B4" s="77">
        <v>0</v>
      </c>
      <c r="C4" s="77">
        <v>1</v>
      </c>
      <c r="D4" s="77">
        <v>2</v>
      </c>
      <c r="E4" s="77">
        <v>3</v>
      </c>
      <c r="F4" s="77">
        <v>4</v>
      </c>
      <c r="G4" s="77">
        <v>5</v>
      </c>
      <c r="H4" s="77">
        <v>6</v>
      </c>
      <c r="I4" s="77">
        <v>7</v>
      </c>
      <c r="J4" s="77">
        <v>8</v>
      </c>
      <c r="K4" s="77">
        <v>9</v>
      </c>
      <c r="L4" s="77">
        <v>10</v>
      </c>
      <c r="M4" s="10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28" ht="12.75">
      <c r="A5" s="78"/>
      <c r="B5" s="77">
        <f>C5-1</f>
        <v>1998</v>
      </c>
      <c r="C5" s="77">
        <f>Assumptions!B7</f>
        <v>1999</v>
      </c>
      <c r="D5" s="77">
        <f>C5+1</f>
        <v>2000</v>
      </c>
      <c r="E5" s="77">
        <f aca="true" t="shared" si="0" ref="E5:L5">D5+1</f>
        <v>2001</v>
      </c>
      <c r="F5" s="77">
        <f t="shared" si="0"/>
        <v>2002</v>
      </c>
      <c r="G5" s="77">
        <f t="shared" si="0"/>
        <v>2003</v>
      </c>
      <c r="H5" s="77">
        <f t="shared" si="0"/>
        <v>2004</v>
      </c>
      <c r="I5" s="77">
        <f t="shared" si="0"/>
        <v>2005</v>
      </c>
      <c r="J5" s="77">
        <f t="shared" si="0"/>
        <v>2006</v>
      </c>
      <c r="K5" s="77">
        <f t="shared" si="0"/>
        <v>2007</v>
      </c>
      <c r="L5" s="77">
        <f t="shared" si="0"/>
        <v>2008</v>
      </c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8" ht="12.75">
      <c r="A6" s="79" t="s">
        <v>129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0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ht="12.75">
      <c r="A7" s="75" t="s">
        <v>130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00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</row>
    <row r="8" spans="1:28" ht="12.75">
      <c r="A8" s="81" t="s">
        <v>131</v>
      </c>
      <c r="B8" s="82">
        <f>CashFlow!B37</f>
        <v>4.38510535130326</v>
      </c>
      <c r="C8" s="82">
        <f>B8+CashFlow!C37</f>
        <v>23.518679823144033</v>
      </c>
      <c r="D8" s="82">
        <f>C8+CashFlow!D37</f>
        <v>59.53239102310998</v>
      </c>
      <c r="E8" s="82">
        <f>D8+CashFlow!E37</f>
        <v>120.16950562453836</v>
      </c>
      <c r="F8" s="82">
        <f>E8+CashFlow!F37</f>
        <v>183.13717167140902</v>
      </c>
      <c r="G8" s="82">
        <f>F8+CashFlow!G37</f>
        <v>240.03999729280952</v>
      </c>
      <c r="H8" s="82">
        <f>G8+CashFlow!H37</f>
        <v>294.4912213312052</v>
      </c>
      <c r="I8" s="82">
        <f>H8+CashFlow!I37</f>
        <v>340.21990269362055</v>
      </c>
      <c r="J8" s="82">
        <f>I8+CashFlow!J37</f>
        <v>329.6140136835777</v>
      </c>
      <c r="K8" s="82">
        <f>J8+CashFlow!K37</f>
        <v>299.2170535626254</v>
      </c>
      <c r="L8" s="82">
        <f>K8+CashFlow!L37</f>
        <v>238.60714450137993</v>
      </c>
      <c r="M8" s="100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</row>
    <row r="9" spans="1:28" ht="12.75">
      <c r="A9" s="81" t="s">
        <v>132</v>
      </c>
      <c r="B9" s="82">
        <f>Assumptions!$B$15*'P&amp;L'!B13</f>
        <v>0</v>
      </c>
      <c r="C9" s="82">
        <f>Assumptions!$B$15*'P&amp;L'!C13</f>
        <v>6.870994455139201</v>
      </c>
      <c r="D9" s="82">
        <f>Assumptions!$B$15*'P&amp;L'!D13</f>
        <v>7.213645584608028</v>
      </c>
      <c r="E9" s="82">
        <f>Assumptions!$B$15*'P&amp;L'!E13</f>
        <v>7.318414257433554</v>
      </c>
      <c r="F9" s="82">
        <f>Assumptions!$B$15*'P&amp;L'!F13</f>
        <v>7.223034717527178</v>
      </c>
      <c r="G9" s="82">
        <f>Assumptions!$B$15*'P&amp;L'!G13</f>
        <v>7.134659767625625</v>
      </c>
      <c r="H9" s="82">
        <f>Assumptions!$B$15*'P&amp;L'!H13</f>
        <v>7.043894075863492</v>
      </c>
      <c r="I9" s="82">
        <f>Assumptions!$B$15*'P&amp;L'!I13</f>
        <v>6.9597859555122525</v>
      </c>
      <c r="J9" s="82">
        <f>Assumptions!$B$15*'P&amp;L'!J13</f>
        <v>7.195009715768113</v>
      </c>
      <c r="K9" s="82">
        <f>Assumptions!$B$15*'P&amp;L'!K13</f>
        <v>7.631584381263796</v>
      </c>
      <c r="L9" s="82">
        <f>Assumptions!$B$15*'P&amp;L'!L13</f>
        <v>8.107108424124185</v>
      </c>
      <c r="M9" s="100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.75">
      <c r="A10" s="81" t="s">
        <v>133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100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.75">
      <c r="A11" s="75" t="s">
        <v>134</v>
      </c>
      <c r="B11" s="82">
        <f aca="true" t="shared" si="1" ref="B11:L11">B8+B9+B10</f>
        <v>4.38510535130326</v>
      </c>
      <c r="C11" s="82">
        <f t="shared" si="1"/>
        <v>30.389674278283234</v>
      </c>
      <c r="D11" s="82">
        <f t="shared" si="1"/>
        <v>66.74603660771801</v>
      </c>
      <c r="E11" s="82">
        <f t="shared" si="1"/>
        <v>127.48791988197192</v>
      </c>
      <c r="F11" s="82">
        <f t="shared" si="1"/>
        <v>190.3602063889362</v>
      </c>
      <c r="G11" s="82">
        <f t="shared" si="1"/>
        <v>247.17465706043515</v>
      </c>
      <c r="H11" s="82">
        <f t="shared" si="1"/>
        <v>301.5351154070687</v>
      </c>
      <c r="I11" s="82">
        <f t="shared" si="1"/>
        <v>347.1796886491328</v>
      </c>
      <c r="J11" s="82">
        <f t="shared" si="1"/>
        <v>336.8090233993458</v>
      </c>
      <c r="K11" s="82">
        <f t="shared" si="1"/>
        <v>306.8486379438892</v>
      </c>
      <c r="L11" s="82">
        <f t="shared" si="1"/>
        <v>246.71425292550413</v>
      </c>
      <c r="M11" s="100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6" customHeight="1">
      <c r="A12" s="75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00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.75">
      <c r="A13" s="75" t="s">
        <v>135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00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.75">
      <c r="A14" s="81" t="s">
        <v>136</v>
      </c>
      <c r="B14" s="82">
        <f>A14+Depr!B6</f>
        <v>50</v>
      </c>
      <c r="C14" s="82">
        <f>B14+Depr!C6</f>
        <v>108.295</v>
      </c>
      <c r="D14" s="82">
        <f>C14+Depr!D6</f>
        <v>171.9245</v>
      </c>
      <c r="E14" s="82">
        <f>D14+Depr!E6</f>
        <v>210.51695</v>
      </c>
      <c r="F14" s="82">
        <f>E14+Depr!F6</f>
        <v>245.968645</v>
      </c>
      <c r="G14" s="82">
        <f>F14+Depr!G6</f>
        <v>287.36550950000003</v>
      </c>
      <c r="H14" s="82">
        <f>G14+Depr!H6</f>
        <v>330.50206045000004</v>
      </c>
      <c r="I14" s="82">
        <f>H14+Depr!I6</f>
        <v>380.35226649500004</v>
      </c>
      <c r="J14" s="82">
        <f>I14+Depr!J6</f>
        <v>487.98749314450004</v>
      </c>
      <c r="K14" s="82">
        <f>J14+Depr!K6</f>
        <v>613.58624245895</v>
      </c>
      <c r="L14" s="82">
        <f>K14+Depr!L6</f>
        <v>766.639866704845</v>
      </c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ht="12.75">
      <c r="A15" s="103" t="s">
        <v>137</v>
      </c>
      <c r="B15" s="82">
        <f>A15+'P&amp;L'!B39</f>
        <v>3.571428571428571</v>
      </c>
      <c r="C15" s="82">
        <f>B15+'P&amp;L'!C39</f>
        <v>14.878214285714284</v>
      </c>
      <c r="D15" s="82">
        <f>C15+'P&amp;L'!D39</f>
        <v>34.89389285714285</v>
      </c>
      <c r="E15" s="82">
        <f>D15+'P&amp;L'!E39</f>
        <v>62.21113928571428</v>
      </c>
      <c r="F15" s="82">
        <f>E15+'P&amp;L'!F39</f>
        <v>94.81725321428571</v>
      </c>
      <c r="G15" s="82">
        <f>F15+'P&amp;L'!G39</f>
        <v>132.91254996428572</v>
      </c>
      <c r="H15" s="82">
        <f>G15+'P&amp;L'!H39</f>
        <v>177.04594781785715</v>
      </c>
      <c r="I15" s="82">
        <f>H15+'P&amp;L'!I39</f>
        <v>224.24982831392856</v>
      </c>
      <c r="J15" s="82">
        <f>I15+'P&amp;L'!J39</f>
        <v>274.96731114532145</v>
      </c>
      <c r="K15" s="82">
        <f>J15+'P&amp;L'!K39</f>
        <v>333.6354708312822</v>
      </c>
      <c r="L15" s="82">
        <f>K15+'P&amp;L'!L39</f>
        <v>404.9058036286961</v>
      </c>
      <c r="M15" s="100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:28" ht="12.75">
      <c r="A16" s="75" t="s">
        <v>138</v>
      </c>
      <c r="B16" s="82">
        <f aca="true" t="shared" si="2" ref="B16:L16">B14-B15</f>
        <v>46.42857142857143</v>
      </c>
      <c r="C16" s="82">
        <f t="shared" si="2"/>
        <v>93.41678571428572</v>
      </c>
      <c r="D16" s="82">
        <f t="shared" si="2"/>
        <v>137.03060714285715</v>
      </c>
      <c r="E16" s="82">
        <f t="shared" si="2"/>
        <v>148.3058107142857</v>
      </c>
      <c r="F16" s="82">
        <f t="shared" si="2"/>
        <v>151.15139178571428</v>
      </c>
      <c r="G16" s="82">
        <f t="shared" si="2"/>
        <v>154.4529595357143</v>
      </c>
      <c r="H16" s="82">
        <f t="shared" si="2"/>
        <v>153.4561126321429</v>
      </c>
      <c r="I16" s="82">
        <f t="shared" si="2"/>
        <v>156.10243818107148</v>
      </c>
      <c r="J16" s="82">
        <f t="shared" si="2"/>
        <v>213.0201819991786</v>
      </c>
      <c r="K16" s="82">
        <f t="shared" si="2"/>
        <v>279.9507716276678</v>
      </c>
      <c r="L16" s="82">
        <f t="shared" si="2"/>
        <v>361.73406307614886</v>
      </c>
      <c r="M16" s="100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6" customHeight="1">
      <c r="A17" s="7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00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.75">
      <c r="A18" s="79" t="s">
        <v>139</v>
      </c>
      <c r="B18" s="108">
        <f aca="true" t="shared" si="3" ref="B18:L18">B11+B16</f>
        <v>50.81367677987469</v>
      </c>
      <c r="C18" s="108">
        <f t="shared" si="3"/>
        <v>123.80645999256896</v>
      </c>
      <c r="D18" s="108">
        <f t="shared" si="3"/>
        <v>203.77664375057515</v>
      </c>
      <c r="E18" s="108">
        <f t="shared" si="3"/>
        <v>275.79373059625766</v>
      </c>
      <c r="F18" s="108">
        <f t="shared" si="3"/>
        <v>341.5115981746505</v>
      </c>
      <c r="G18" s="108">
        <f t="shared" si="3"/>
        <v>401.62761659614944</v>
      </c>
      <c r="H18" s="108">
        <f t="shared" si="3"/>
        <v>454.9912280392116</v>
      </c>
      <c r="I18" s="108">
        <f t="shared" si="3"/>
        <v>503.2821268302043</v>
      </c>
      <c r="J18" s="108">
        <f t="shared" si="3"/>
        <v>549.8292053985244</v>
      </c>
      <c r="K18" s="108">
        <f t="shared" si="3"/>
        <v>586.7994095715569</v>
      </c>
      <c r="L18" s="108">
        <f t="shared" si="3"/>
        <v>608.448316001653</v>
      </c>
      <c r="M18" s="100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.75">
      <c r="A19" s="75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00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.75">
      <c r="A20" s="79" t="s">
        <v>140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.75">
      <c r="A21" s="75" t="s">
        <v>141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.75">
      <c r="A22" s="81" t="s">
        <v>142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100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.75">
      <c r="A23" s="81" t="s">
        <v>143</v>
      </c>
      <c r="B23" s="82">
        <f>Assumptions!$B$16*'P&amp;L'!B36</f>
        <v>0.0013540589724310777</v>
      </c>
      <c r="C23" s="82">
        <f>Assumptions!$B$16*'P&amp;L'!C36</f>
        <v>1.9292904199099434</v>
      </c>
      <c r="D23" s="82">
        <f>Assumptions!$B$16*'P&amp;L'!D36</f>
        <v>2.7490155591902328</v>
      </c>
      <c r="E23" s="82">
        <f>Assumptions!$B$16*'P&amp;L'!E36</f>
        <v>3.581422591775118</v>
      </c>
      <c r="F23" s="82">
        <f>Assumptions!$B$16*'P&amp;L'!F36</f>
        <v>4.0667338052354545</v>
      </c>
      <c r="G23" s="82">
        <f>Assumptions!$B$16*'P&amp;L'!G36</f>
        <v>4.513049789966831</v>
      </c>
      <c r="H23" s="82">
        <f>Assumptions!$B$16*'P&amp;L'!H36</f>
        <v>5.035764356241597</v>
      </c>
      <c r="I23" s="82">
        <f>Assumptions!$B$16*'P&amp;L'!I36</f>
        <v>5.582768530423576</v>
      </c>
      <c r="J23" s="82">
        <f>Assumptions!$B$16*'P&amp;L'!J36</f>
        <v>6.26852149991077</v>
      </c>
      <c r="K23" s="82">
        <f>Assumptions!$B$16*'P&amp;L'!K36</f>
        <v>7.746635956102963</v>
      </c>
      <c r="L23" s="82">
        <f>Assumptions!$B$16*'P&amp;L'!L36</f>
        <v>9.46529538954687</v>
      </c>
      <c r="M23" s="100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.75">
      <c r="A24" s="81" t="s">
        <v>144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100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.75">
      <c r="A25" s="75" t="s">
        <v>145</v>
      </c>
      <c r="B25" s="82">
        <f aca="true" t="shared" si="4" ref="B25:L25">B22+B23+B24</f>
        <v>0.0013540589724310777</v>
      </c>
      <c r="C25" s="82">
        <f t="shared" si="4"/>
        <v>1.9292904199099434</v>
      </c>
      <c r="D25" s="82">
        <f t="shared" si="4"/>
        <v>2.7490155591902328</v>
      </c>
      <c r="E25" s="82">
        <f t="shared" si="4"/>
        <v>3.581422591775118</v>
      </c>
      <c r="F25" s="82">
        <f t="shared" si="4"/>
        <v>4.0667338052354545</v>
      </c>
      <c r="G25" s="82">
        <f t="shared" si="4"/>
        <v>4.513049789966831</v>
      </c>
      <c r="H25" s="82">
        <f t="shared" si="4"/>
        <v>5.035764356241597</v>
      </c>
      <c r="I25" s="82">
        <f t="shared" si="4"/>
        <v>5.582768530423576</v>
      </c>
      <c r="J25" s="82">
        <f t="shared" si="4"/>
        <v>6.26852149991077</v>
      </c>
      <c r="K25" s="82">
        <f t="shared" si="4"/>
        <v>7.746635956102963</v>
      </c>
      <c r="L25" s="82">
        <f t="shared" si="4"/>
        <v>9.46529538954687</v>
      </c>
      <c r="M25" s="100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28" ht="6" customHeight="1">
      <c r="A26" s="75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</row>
    <row r="27" spans="1:28" ht="12.75">
      <c r="A27" s="81" t="s">
        <v>146</v>
      </c>
      <c r="B27" s="219">
        <v>15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.75">
      <c r="A28" s="79" t="s">
        <v>147</v>
      </c>
      <c r="B28" s="108">
        <f aca="true" t="shared" si="5" ref="B28:L28">B25+B27</f>
        <v>15.001354058972431</v>
      </c>
      <c r="C28" s="108">
        <f t="shared" si="5"/>
        <v>1.9292904199099434</v>
      </c>
      <c r="D28" s="108">
        <f t="shared" si="5"/>
        <v>2.7490155591902328</v>
      </c>
      <c r="E28" s="108">
        <f t="shared" si="5"/>
        <v>3.581422591775118</v>
      </c>
      <c r="F28" s="108">
        <f t="shared" si="5"/>
        <v>4.0667338052354545</v>
      </c>
      <c r="G28" s="108">
        <f t="shared" si="5"/>
        <v>4.513049789966831</v>
      </c>
      <c r="H28" s="108">
        <f t="shared" si="5"/>
        <v>5.035764356241597</v>
      </c>
      <c r="I28" s="108">
        <f t="shared" si="5"/>
        <v>5.582768530423576</v>
      </c>
      <c r="J28" s="108">
        <f t="shared" si="5"/>
        <v>6.26852149991077</v>
      </c>
      <c r="K28" s="108">
        <f t="shared" si="5"/>
        <v>7.746635956102963</v>
      </c>
      <c r="L28" s="108">
        <f t="shared" si="5"/>
        <v>9.46529538954687</v>
      </c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.75">
      <c r="A29" s="75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13" ht="12.75">
      <c r="A30" s="20" t="s">
        <v>148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"/>
    </row>
    <row r="31" spans="1:13" ht="12.75">
      <c r="A31" s="19" t="s">
        <v>149</v>
      </c>
      <c r="B31" s="313">
        <v>40</v>
      </c>
      <c r="C31" s="313">
        <v>40</v>
      </c>
      <c r="D31" s="313">
        <v>40</v>
      </c>
      <c r="E31" s="313">
        <v>40</v>
      </c>
      <c r="F31" s="313">
        <v>40</v>
      </c>
      <c r="G31" s="313">
        <v>40</v>
      </c>
      <c r="H31" s="313">
        <v>40</v>
      </c>
      <c r="I31" s="313">
        <v>40</v>
      </c>
      <c r="J31" s="313">
        <v>40</v>
      </c>
      <c r="K31" s="313">
        <v>40</v>
      </c>
      <c r="L31" s="313">
        <v>40</v>
      </c>
      <c r="M31" s="3"/>
    </row>
    <row r="32" spans="1:13" ht="12.75">
      <c r="A32" s="18" t="s">
        <v>150</v>
      </c>
      <c r="B32" s="28">
        <f>'P&amp;L'!B68+A32</f>
        <v>-4.187677279097744</v>
      </c>
      <c r="C32" s="28">
        <f>'P&amp;L'!C68+B32</f>
        <v>81.87716957265901</v>
      </c>
      <c r="D32" s="28">
        <f>'P&amp;L'!D68+C32</f>
        <v>161.0276281913849</v>
      </c>
      <c r="E32" s="28">
        <f>'P&amp;L'!E68+D32</f>
        <v>232.2123080044825</v>
      </c>
      <c r="F32" s="28">
        <f>'P&amp;L'!F68+E32</f>
        <v>297.44486436941503</v>
      </c>
      <c r="G32" s="28">
        <f>'P&amp;L'!G68+F32</f>
        <v>357.1145668061826</v>
      </c>
      <c r="H32" s="28">
        <f>'P&amp;L'!H68+G32</f>
        <v>409.95546368297005</v>
      </c>
      <c r="I32" s="28">
        <f>'P&amp;L'!I68+H32</f>
        <v>457.6993582997807</v>
      </c>
      <c r="J32" s="28">
        <f>'P&amp;L'!J68+I32</f>
        <v>503.56068389861366</v>
      </c>
      <c r="K32" s="28">
        <f>'P&amp;L'!K68+J32</f>
        <v>539.052773615454</v>
      </c>
      <c r="L32" s="28">
        <f>'P&amp;L'!L68+K32</f>
        <v>558.9830206121062</v>
      </c>
      <c r="M32" s="3"/>
    </row>
    <row r="33" spans="1:13" ht="12.75">
      <c r="A33" s="18" t="s">
        <v>151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3"/>
    </row>
    <row r="34" spans="1:13" ht="12.75">
      <c r="A34" s="40" t="s">
        <v>152</v>
      </c>
      <c r="B34" s="186">
        <f aca="true" t="shared" si="6" ref="B34:L34">SUM(B31:B33)</f>
        <v>35.81232272090226</v>
      </c>
      <c r="C34" s="186">
        <f t="shared" si="6"/>
        <v>121.87716957265901</v>
      </c>
      <c r="D34" s="186">
        <f t="shared" si="6"/>
        <v>201.0276281913849</v>
      </c>
      <c r="E34" s="186">
        <f t="shared" si="6"/>
        <v>272.2123080044825</v>
      </c>
      <c r="F34" s="186">
        <f t="shared" si="6"/>
        <v>337.44486436941503</v>
      </c>
      <c r="G34" s="186">
        <f t="shared" si="6"/>
        <v>397.1145668061826</v>
      </c>
      <c r="H34" s="186">
        <f t="shared" si="6"/>
        <v>449.95546368297005</v>
      </c>
      <c r="I34" s="186">
        <f t="shared" si="6"/>
        <v>497.6993582997807</v>
      </c>
      <c r="J34" s="186">
        <f t="shared" si="6"/>
        <v>543.5606838986137</v>
      </c>
      <c r="K34" s="186">
        <f t="shared" si="6"/>
        <v>579.052773615454</v>
      </c>
      <c r="L34" s="186">
        <f t="shared" si="6"/>
        <v>598.9830206121062</v>
      </c>
      <c r="M34" s="3"/>
    </row>
    <row r="35" spans="1:13" ht="12.75">
      <c r="A35" s="2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"/>
    </row>
    <row r="36" spans="1:13" ht="12.75">
      <c r="A36" s="40" t="s">
        <v>153</v>
      </c>
      <c r="B36" s="186">
        <f aca="true" t="shared" si="7" ref="B36:L36">B28+B34</f>
        <v>50.81367677987469</v>
      </c>
      <c r="C36" s="186">
        <f t="shared" si="7"/>
        <v>123.80645999256896</v>
      </c>
      <c r="D36" s="186">
        <f t="shared" si="7"/>
        <v>203.77664375057515</v>
      </c>
      <c r="E36" s="186">
        <f t="shared" si="7"/>
        <v>275.7937305962576</v>
      </c>
      <c r="F36" s="186">
        <f t="shared" si="7"/>
        <v>341.5115981746505</v>
      </c>
      <c r="G36" s="186">
        <f t="shared" si="7"/>
        <v>401.62761659614944</v>
      </c>
      <c r="H36" s="186">
        <f t="shared" si="7"/>
        <v>454.99122803921165</v>
      </c>
      <c r="I36" s="186">
        <f t="shared" si="7"/>
        <v>503.2821268302043</v>
      </c>
      <c r="J36" s="186">
        <f t="shared" si="7"/>
        <v>549.8292053985244</v>
      </c>
      <c r="K36" s="186">
        <f t="shared" si="7"/>
        <v>586.799409571557</v>
      </c>
      <c r="L36" s="186">
        <f t="shared" si="7"/>
        <v>608.4483160016531</v>
      </c>
      <c r="M36" s="3"/>
    </row>
    <row r="37" spans="1:12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2.75">
      <c r="A39" s="52" t="s">
        <v>331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</row>
    <row r="40" spans="1:12" ht="12.75">
      <c r="A40" s="55" t="s">
        <v>196</v>
      </c>
      <c r="B40" s="56">
        <f aca="true" t="shared" si="8" ref="B40:L40">B36-B18</f>
        <v>0</v>
      </c>
      <c r="C40" s="56">
        <f t="shared" si="8"/>
        <v>0</v>
      </c>
      <c r="D40" s="56">
        <f t="shared" si="8"/>
        <v>0</v>
      </c>
      <c r="E40" s="56">
        <f t="shared" si="8"/>
        <v>0</v>
      </c>
      <c r="F40" s="56">
        <f t="shared" si="8"/>
        <v>0</v>
      </c>
      <c r="G40" s="56">
        <f t="shared" si="8"/>
        <v>0</v>
      </c>
      <c r="H40" s="56">
        <f t="shared" si="8"/>
        <v>0</v>
      </c>
      <c r="I40" s="56">
        <f t="shared" si="8"/>
        <v>0</v>
      </c>
      <c r="J40" s="56">
        <f t="shared" si="8"/>
        <v>0</v>
      </c>
      <c r="K40" s="56">
        <f t="shared" si="8"/>
        <v>0</v>
      </c>
      <c r="L40" s="57">
        <f t="shared" si="8"/>
        <v>0</v>
      </c>
    </row>
    <row r="41" spans="1:12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</sheetData>
  <printOptions horizontalCentered="1" verticalCentered="1"/>
  <pageMargins left="0.75" right="0.75" top="0.75" bottom="0.75" header="0.5" footer="0.5"/>
  <pageSetup horizontalDpi="600" verticalDpi="600" orientation="landscape" r:id="rId1"/>
  <headerFooter alignWithMargins="0">
    <oddHeader>&amp;LYale M. Braunstein&amp;C&amp;A</oddHeader>
    <oddFooter>&amp;LPrint date: &amp;D&amp;CTelecom Financial Model&amp;RPage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Prototype for telecom financial model</dc:title>
  <dc:subject>generic</dc:subject>
  <dc:creator>Yale M. Braunstein</dc:creator>
  <cp:keywords/>
  <dc:description>Created Jan. 1999 from older models.
Updated 2004.
Copyright 1999, 2000, 2002, 2004; 
Yale M. Braunstein</dc:description>
  <cp:lastModifiedBy>Yale M. Braunstein</cp:lastModifiedBy>
  <cp:lastPrinted>1999-01-27T04:52:43Z</cp:lastPrinted>
  <dcterms:created xsi:type="dcterms:W3CDTF">1999-01-06T20:17:26Z</dcterms:created>
  <dcterms:modified xsi:type="dcterms:W3CDTF">2004-09-07T21:37:39Z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